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5.xml" ContentType="application/vnd.openxmlformats-officedocument.spreadsheetml.comments+xml"/>
  <Override PartName="/xl/threadedComments/threadedComment2.xml" ContentType="application/vnd.ms-excel.threadedcomments+xml"/>
  <Override PartName="/xl/drawings/drawing2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1.xml" ContentType="application/vnd.openxmlformats-officedocument.drawing+xml"/>
  <Override PartName="/xl/comments9.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G:\Mi unidad\CONTROL INTERNO UNICAUCA\2025\INFORMES\"/>
    </mc:Choice>
  </mc:AlternateContent>
  <xr:revisionPtr revIDLastSave="0" documentId="8_{22A1556D-BF03-4F0A-9264-7A71E62ABBE5}" xr6:coauthVersionLast="47" xr6:coauthVersionMax="47" xr10:uidLastSave="{00000000-0000-0000-0000-000000000000}"/>
  <bookViews>
    <workbookView xWindow="-120" yWindow="-120" windowWidth="29040" windowHeight="15720" firstSheet="16" xr2:uid="{00000000-000D-0000-FFFF-FFFF00000000}"/>
  </bookViews>
  <sheets>
    <sheet name="TRANSPORTE" sheetId="137" r:id="rId1"/>
    <sheet name="GESTIÓN AMBIENTAL" sheetId="127" r:id="rId2"/>
    <sheet name="ARCHIVO HISTÓRICO " sheetId="136" r:id="rId3"/>
    <sheet name="CIC" sheetId="105" r:id="rId4"/>
    <sheet name="POSGRADOS" sheetId="128" r:id="rId5"/>
    <sheet name="TALENTO HUMANO UNISALUD" sheetId="133" r:id="rId6"/>
    <sheet name="TALENTO HUMANO DIV." sheetId="132" r:id="rId7"/>
    <sheet name="SGSST" sheetId="135" r:id="rId8"/>
    <sheet name="MATRICULA FINANCIERA" sheetId="107" r:id="rId9"/>
    <sheet name="LEGALIZACION AVANCES" sheetId="106" r:id="rId10"/>
    <sheet name="BIENESTAR UNIVERSITARIO" sheetId="131" r:id="rId11"/>
    <sheet name="RELIQUIDACION MATRICULA" sheetId="138" r:id="rId12"/>
    <sheet name="REGISTRO DE NOTAS" sheetId="139" r:id="rId13"/>
    <sheet name="PROYECTOS VRI" sheetId="141" r:id="rId14"/>
    <sheet name="REGIONALIZACIÓN" sheetId="143" r:id="rId15"/>
    <sheet name="PLANES ACADÉMICA" sheetId="142" r:id="rId16"/>
    <sheet name="PROFESOR INVITADO" sheetId="145" r:id="rId17"/>
    <sheet name="PETI" sheetId="146" r:id="rId18"/>
    <sheet name="CGR 2019" sheetId="112" r:id="rId19"/>
    <sheet name="CGR 2020" sheetId="113" r:id="rId20"/>
    <sheet name="CGR 2021" sheetId="116" r:id="rId21"/>
    <sheet name="CGR 2023" sheetId="144" r:id="rId22"/>
    <sheet name="DETALLE INTERNOS" sheetId="100" r:id="rId23"/>
    <sheet name="DETALLE CGR" sheetId="110" r:id="rId24"/>
    <sheet name="Cronógrama" sheetId="17" state="hidden" r:id="rId25"/>
    <sheet name="Cronógrama nov.2019" sheetId="32" state="hidden" r:id="rId26"/>
  </sheets>
  <externalReferences>
    <externalReference r:id="rId27"/>
    <externalReference r:id="rId28"/>
    <externalReference r:id="rId29"/>
    <externalReference r:id="rId30"/>
  </externalReferences>
  <definedNames>
    <definedName name="_xlnm._FilterDatabase" localSheetId="2" hidden="1">'ARCHIVO HISTÓRICO '!$A$6:$AD$6</definedName>
    <definedName name="_xlnm._FilterDatabase" localSheetId="10" hidden="1">'BIENESTAR UNIVERSITARIO'!$A$6:$AD$32</definedName>
    <definedName name="_xlnm._FilterDatabase" localSheetId="18" hidden="1">'CGR 2019'!$A$3:$AB$30</definedName>
    <definedName name="_xlnm._FilterDatabase" localSheetId="19" hidden="1">'CGR 2020'!$A$3:$Y$34</definedName>
    <definedName name="_xlnm._FilterDatabase" localSheetId="20" hidden="1">'CGR 2021'!$A$3:$Y$40</definedName>
    <definedName name="_xlnm._FilterDatabase" localSheetId="21" hidden="1">'CGR 2023'!$A$3:$AA$25</definedName>
    <definedName name="_xlnm._FilterDatabase" localSheetId="3" hidden="1">CIC!$A$6:$AD$6</definedName>
    <definedName name="_xlnm._FilterDatabase" localSheetId="22" hidden="1">'DETALLE INTERNOS'!$A$1:$S$3</definedName>
    <definedName name="_xlnm._FilterDatabase" localSheetId="1" hidden="1">'GESTIÓN AMBIENTAL'!$A$6:$AD$29</definedName>
    <definedName name="_xlnm._FilterDatabase" localSheetId="9" hidden="1">'LEGALIZACION AVANCES'!$A$6:$AX$6</definedName>
    <definedName name="_xlnm._FilterDatabase" localSheetId="8" hidden="1">'MATRICULA FINANCIERA'!$A$6:$N$7</definedName>
    <definedName name="_xlnm._FilterDatabase" localSheetId="15" hidden="1">'PLANES ACADÉMICA'!$A$6:$BB$6</definedName>
    <definedName name="_xlnm._FilterDatabase" localSheetId="4" hidden="1">POSGRADOS!$A$6:$AD$26</definedName>
    <definedName name="_xlnm._FilterDatabase" localSheetId="16" hidden="1">'PROFESOR INVITADO'!$A$6:$BB$6</definedName>
    <definedName name="_xlnm._FilterDatabase" localSheetId="13" hidden="1">'PROYECTOS VRI'!$A$6:$AD$6</definedName>
    <definedName name="_xlnm._FilterDatabase" localSheetId="14" hidden="1">REGIONALIZACIÓN!$A$6:$BB$6</definedName>
    <definedName name="_xlnm._FilterDatabase" localSheetId="12" hidden="1">'REGISTRO DE NOTAS'!$A$6:$AD$6</definedName>
    <definedName name="_xlnm._FilterDatabase" localSheetId="11" hidden="1">'RELIQUIDACION MATRICULA'!$A$6:$AW$6</definedName>
    <definedName name="_xlnm._FilterDatabase" localSheetId="7" hidden="1">SGSST!$A$6:$AD$28</definedName>
    <definedName name="_xlnm._FilterDatabase" localSheetId="6" hidden="1">'TALENTO HUMANO DIV.'!$A$6:$AD$6</definedName>
    <definedName name="_xlnm._FilterDatabase" localSheetId="5" hidden="1">'TALENTO HUMANO UNISALUD'!$A$6:$AD$6</definedName>
    <definedName name="_xlnm._FilterDatabase" localSheetId="0" hidden="1">TRANSPORTE!$A$6:$AD$6</definedName>
    <definedName name="Calidad_Académica">[1]Datos!$D$8:$D$19</definedName>
    <definedName name="Fuente">[2]Datos!$C$6:$C$10</definedName>
    <definedName name="UnidaddeMedida" localSheetId="3">[3]Hoja2!$A$3:$A$11</definedName>
    <definedName name="UnidaddeMedida" localSheetId="9">[3]Hoja2!$A$3:$A$11</definedName>
    <definedName name="UnidaddeMedida" localSheetId="8">[3]Hoja2!$A$3:$A$11</definedName>
    <definedName name="UnidaddeMedida">[4]Hoja2!$A$3:$A$11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O30" i="137" l="1"/>
  <c r="N23" i="144"/>
  <c r="N6" i="144"/>
  <c r="N7" i="144"/>
  <c r="N8" i="144"/>
  <c r="N9" i="144"/>
  <c r="N10" i="144"/>
  <c r="N11" i="144"/>
  <c r="N12" i="144"/>
  <c r="N13" i="144"/>
  <c r="N14" i="144"/>
  <c r="N15" i="144"/>
  <c r="N16" i="144"/>
  <c r="N17" i="144"/>
  <c r="N18" i="144"/>
  <c r="N19" i="144"/>
  <c r="N20" i="144"/>
  <c r="N21" i="144"/>
  <c r="N22" i="144"/>
  <c r="N24" i="144"/>
  <c r="N5" i="144"/>
  <c r="N4" i="144"/>
  <c r="U39" i="116"/>
  <c r="N39" i="116"/>
  <c r="O39" i="116"/>
  <c r="N6" i="116"/>
  <c r="O6" i="116"/>
  <c r="N7" i="116"/>
  <c r="O7" i="116"/>
  <c r="N8" i="116"/>
  <c r="O8" i="116"/>
  <c r="N9" i="116"/>
  <c r="O9" i="116"/>
  <c r="N10" i="116"/>
  <c r="O10" i="116"/>
  <c r="N11" i="116"/>
  <c r="O11" i="116"/>
  <c r="N12" i="116"/>
  <c r="O12" i="116"/>
  <c r="N13" i="116"/>
  <c r="O13" i="116"/>
  <c r="N14" i="116"/>
  <c r="O14" i="116"/>
  <c r="N15" i="116"/>
  <c r="O15" i="116"/>
  <c r="N16" i="116"/>
  <c r="O16" i="116"/>
  <c r="N17" i="116"/>
  <c r="O17" i="116"/>
  <c r="N18" i="116"/>
  <c r="O18" i="116"/>
  <c r="N19" i="116"/>
  <c r="O19" i="116"/>
  <c r="N20" i="116"/>
  <c r="O20" i="116"/>
  <c r="N21" i="116"/>
  <c r="O21" i="116"/>
  <c r="N22" i="116"/>
  <c r="O22" i="116"/>
  <c r="N23" i="116"/>
  <c r="O23" i="116"/>
  <c r="N24" i="116"/>
  <c r="O24" i="116"/>
  <c r="N25" i="116"/>
  <c r="O25" i="116"/>
  <c r="N26" i="116"/>
  <c r="O26" i="116"/>
  <c r="N27" i="116"/>
  <c r="O27" i="116"/>
  <c r="N28" i="116"/>
  <c r="O28" i="116"/>
  <c r="N29" i="116"/>
  <c r="O29" i="116"/>
  <c r="N30" i="116"/>
  <c r="O30" i="116"/>
  <c r="N31" i="116"/>
  <c r="O31" i="116"/>
  <c r="N32" i="116"/>
  <c r="O32" i="116"/>
  <c r="N33" i="116"/>
  <c r="O33" i="116"/>
  <c r="N34" i="116"/>
  <c r="O34" i="116"/>
  <c r="N35" i="116"/>
  <c r="O35" i="116"/>
  <c r="N36" i="116"/>
  <c r="O36" i="116"/>
  <c r="N37" i="116"/>
  <c r="O37" i="116"/>
  <c r="N38" i="116"/>
  <c r="O38" i="116"/>
  <c r="N5" i="116"/>
  <c r="O5" i="113"/>
  <c r="O4" i="113"/>
  <c r="N4" i="116"/>
  <c r="W15" i="139"/>
  <c r="D80" i="100"/>
  <c r="W7" i="146"/>
  <c r="E81" i="100"/>
  <c r="E82" i="100"/>
  <c r="E83" i="100"/>
  <c r="E85" i="100"/>
  <c r="E86" i="100"/>
  <c r="E87" i="100"/>
  <c r="E88" i="100"/>
  <c r="E89" i="100"/>
  <c r="E90" i="100"/>
  <c r="E91" i="100"/>
  <c r="E80" i="100"/>
  <c r="R21" i="100"/>
  <c r="D81" i="100"/>
  <c r="D82" i="100"/>
  <c r="D83" i="100"/>
  <c r="D85" i="100"/>
  <c r="D86" i="100"/>
  <c r="D87" i="100"/>
  <c r="D88" i="100"/>
  <c r="D89" i="100"/>
  <c r="D90" i="100"/>
  <c r="D91" i="100"/>
  <c r="Q28" i="100"/>
  <c r="P28" i="100"/>
  <c r="J28" i="100"/>
  <c r="U18" i="100"/>
  <c r="U10" i="100"/>
  <c r="U9" i="100"/>
  <c r="U21" i="100"/>
  <c r="U20" i="100"/>
  <c r="U19" i="100"/>
  <c r="U17" i="100"/>
  <c r="U11" i="100"/>
  <c r="S9" i="100"/>
  <c r="R9" i="100"/>
  <c r="R5" i="100"/>
  <c r="S5" i="100"/>
  <c r="S4" i="100"/>
  <c r="T6" i="100"/>
  <c r="I21" i="100"/>
  <c r="H21" i="100"/>
  <c r="E21" i="100"/>
  <c r="D21" i="100"/>
  <c r="V6" i="100"/>
  <c r="E4" i="100"/>
  <c r="P23" i="100"/>
  <c r="Q13" i="100"/>
  <c r="Q12" i="100"/>
  <c r="Q8" i="100"/>
  <c r="Q6" i="100"/>
  <c r="Q5" i="100"/>
  <c r="Q4" i="100"/>
  <c r="AC34" i="143"/>
  <c r="AC19" i="145"/>
  <c r="AC51" i="146"/>
  <c r="AC26" i="128"/>
  <c r="W11" i="138"/>
  <c r="Z25" i="127"/>
  <c r="W23" i="135"/>
  <c r="W19" i="135"/>
  <c r="W17" i="135"/>
  <c r="W14" i="135"/>
  <c r="W11" i="135"/>
  <c r="W8" i="135"/>
  <c r="W21" i="135"/>
  <c r="Q28" i="142"/>
  <c r="Q32" i="142"/>
  <c r="Q27" i="142"/>
  <c r="Q20" i="142"/>
  <c r="W38" i="142"/>
  <c r="W36" i="142"/>
  <c r="W35" i="142"/>
  <c r="W34" i="142"/>
  <c r="W33" i="142"/>
  <c r="W32" i="142"/>
  <c r="W31" i="142"/>
  <c r="W26" i="142"/>
  <c r="W24" i="142"/>
  <c r="W23" i="142"/>
  <c r="Q23" i="142"/>
  <c r="W22" i="142"/>
  <c r="W21" i="142"/>
  <c r="W20" i="142"/>
  <c r="W18" i="142"/>
  <c r="W17" i="142"/>
  <c r="W16" i="142"/>
  <c r="W15" i="142"/>
  <c r="W14" i="142"/>
  <c r="W13" i="142"/>
  <c r="W12" i="142"/>
  <c r="W11" i="142"/>
  <c r="W10" i="142"/>
  <c r="W9" i="142"/>
  <c r="Q9" i="142"/>
  <c r="W8" i="142"/>
  <c r="Q8" i="142"/>
  <c r="W37" i="142"/>
  <c r="W30" i="142"/>
  <c r="W29" i="142"/>
  <c r="W25" i="142"/>
  <c r="W19" i="142"/>
  <c r="W7" i="142"/>
  <c r="Q7" i="106"/>
  <c r="Q8" i="106"/>
  <c r="Q8" i="107"/>
  <c r="W8" i="107"/>
  <c r="W7" i="132"/>
  <c r="W28" i="142"/>
  <c r="W27" i="142"/>
  <c r="W39" i="142" s="1"/>
  <c r="V38" i="142"/>
  <c r="V36" i="142"/>
  <c r="V35" i="142"/>
  <c r="V34" i="142"/>
  <c r="V33" i="142"/>
  <c r="V31" i="142"/>
  <c r="V29" i="142"/>
  <c r="V26" i="142"/>
  <c r="V25" i="142"/>
  <c r="V24" i="142"/>
  <c r="V22" i="142"/>
  <c r="V21" i="142"/>
  <c r="V18" i="142"/>
  <c r="V17" i="142"/>
  <c r="V16" i="142"/>
  <c r="V15" i="142"/>
  <c r="V14" i="142"/>
  <c r="V13" i="142"/>
  <c r="V12" i="142"/>
  <c r="V11" i="142"/>
  <c r="V10" i="142"/>
  <c r="V7" i="142"/>
  <c r="U39" i="142"/>
  <c r="U38" i="142"/>
  <c r="U37" i="142"/>
  <c r="U36" i="142"/>
  <c r="U35" i="142"/>
  <c r="U34" i="142"/>
  <c r="U33" i="142"/>
  <c r="U32" i="142"/>
  <c r="U31" i="142"/>
  <c r="U30" i="142"/>
  <c r="U29" i="142"/>
  <c r="U28" i="142"/>
  <c r="U27" i="142"/>
  <c r="U26" i="142"/>
  <c r="U25" i="142"/>
  <c r="U24" i="142"/>
  <c r="U23" i="142"/>
  <c r="U22" i="142"/>
  <c r="U21" i="142"/>
  <c r="U20" i="142"/>
  <c r="U19" i="142"/>
  <c r="U18" i="142"/>
  <c r="U17" i="142"/>
  <c r="U16" i="142"/>
  <c r="U15" i="142"/>
  <c r="U14" i="142"/>
  <c r="U13" i="142"/>
  <c r="U12" i="142"/>
  <c r="U11" i="142"/>
  <c r="U10" i="142"/>
  <c r="U9" i="142"/>
  <c r="U8" i="142"/>
  <c r="U7" i="142"/>
  <c r="U29" i="132"/>
  <c r="AC16" i="145"/>
  <c r="AC15" i="145"/>
  <c r="AC14" i="145"/>
  <c r="AC13" i="145"/>
  <c r="AC12" i="145"/>
  <c r="AC9" i="145"/>
  <c r="AC8" i="145"/>
  <c r="W13" i="146"/>
  <c r="AC10" i="146"/>
  <c r="O8" i="146"/>
  <c r="O9" i="146"/>
  <c r="O10" i="146"/>
  <c r="O11" i="146"/>
  <c r="O12" i="146"/>
  <c r="O13" i="146"/>
  <c r="O14" i="146"/>
  <c r="O15" i="146"/>
  <c r="O16" i="146"/>
  <c r="O17" i="146"/>
  <c r="O18" i="146"/>
  <c r="O19" i="146"/>
  <c r="O20" i="146"/>
  <c r="O21" i="146"/>
  <c r="O22" i="146"/>
  <c r="O23" i="146"/>
  <c r="O24" i="146"/>
  <c r="O25" i="146"/>
  <c r="O26" i="146"/>
  <c r="O27" i="146"/>
  <c r="O28" i="146"/>
  <c r="O29" i="146"/>
  <c r="O30" i="146"/>
  <c r="O31" i="146"/>
  <c r="O32" i="146"/>
  <c r="O33" i="146"/>
  <c r="O34" i="146"/>
  <c r="O35" i="146"/>
  <c r="O36" i="146"/>
  <c r="O37" i="146"/>
  <c r="O38" i="146"/>
  <c r="O39" i="146"/>
  <c r="O40" i="146"/>
  <c r="O41" i="146"/>
  <c r="O42" i="146"/>
  <c r="O43" i="146"/>
  <c r="O44" i="146"/>
  <c r="O45" i="146"/>
  <c r="O46" i="146"/>
  <c r="O47" i="146"/>
  <c r="O48" i="146"/>
  <c r="O49" i="146"/>
  <c r="O50" i="146"/>
  <c r="V7" i="146"/>
  <c r="Z7" i="146"/>
  <c r="Q9" i="146"/>
  <c r="R9" i="146"/>
  <c r="V9" i="146" s="1"/>
  <c r="R8" i="146"/>
  <c r="V8" i="146" s="1"/>
  <c r="Q47" i="146"/>
  <c r="AC8" i="143"/>
  <c r="AC30" i="137"/>
  <c r="AC31" i="137"/>
  <c r="AC25" i="137"/>
  <c r="AC24" i="137"/>
  <c r="AC23" i="137"/>
  <c r="AC22" i="137"/>
  <c r="AC21" i="137"/>
  <c r="AC20" i="137"/>
  <c r="AC19" i="137"/>
  <c r="AC18" i="137"/>
  <c r="AC17" i="137"/>
  <c r="AC16" i="137"/>
  <c r="AC15" i="137"/>
  <c r="AC14" i="137"/>
  <c r="AC13" i="137"/>
  <c r="AC12" i="137"/>
  <c r="AC11" i="137"/>
  <c r="AC10" i="137"/>
  <c r="AC9" i="137"/>
  <c r="AC8" i="137"/>
  <c r="AC7" i="137"/>
  <c r="Q31" i="131"/>
  <c r="Q17" i="143"/>
  <c r="Q16" i="143"/>
  <c r="W30" i="137"/>
  <c r="W29" i="137"/>
  <c r="W28" i="137"/>
  <c r="W27" i="137"/>
  <c r="W26" i="137"/>
  <c r="W25" i="137"/>
  <c r="W24" i="137"/>
  <c r="W23" i="137"/>
  <c r="W22" i="137"/>
  <c r="W21" i="137"/>
  <c r="W20" i="137"/>
  <c r="W19" i="137"/>
  <c r="W18" i="137"/>
  <c r="W17" i="137"/>
  <c r="W16" i="137"/>
  <c r="W15" i="137"/>
  <c r="W14" i="137"/>
  <c r="W13" i="137"/>
  <c r="W12" i="137"/>
  <c r="W11" i="137"/>
  <c r="W10" i="137"/>
  <c r="W9" i="137"/>
  <c r="W8" i="137"/>
  <c r="W7" i="137"/>
  <c r="AC9" i="138"/>
  <c r="Q28" i="143"/>
  <c r="Q25" i="143"/>
  <c r="Q12" i="143"/>
  <c r="W10" i="143"/>
  <c r="W7" i="143"/>
  <c r="V7" i="143"/>
  <c r="W31" i="131"/>
  <c r="AC18" i="131"/>
  <c r="Q10" i="142"/>
  <c r="W16" i="128"/>
  <c r="Q8" i="131"/>
  <c r="Q18" i="131"/>
  <c r="Q9" i="143"/>
  <c r="Q8" i="143"/>
  <c r="Q7" i="143"/>
  <c r="W16" i="136"/>
  <c r="W8" i="136"/>
  <c r="W9" i="136"/>
  <c r="W10" i="136"/>
  <c r="W11" i="136"/>
  <c r="W12" i="136"/>
  <c r="W13" i="136"/>
  <c r="W14" i="136"/>
  <c r="W15" i="136"/>
  <c r="W7" i="136"/>
  <c r="W7" i="105"/>
  <c r="V7" i="136"/>
  <c r="S17" i="100"/>
  <c r="S16" i="100"/>
  <c r="S15" i="100"/>
  <c r="R16" i="100"/>
  <c r="R15" i="100"/>
  <c r="R17" i="100"/>
  <c r="R10" i="100"/>
  <c r="R8" i="100"/>
  <c r="T17" i="100"/>
  <c r="T14" i="100"/>
  <c r="T10" i="100"/>
  <c r="T9" i="100"/>
  <c r="U25" i="144"/>
  <c r="C7" i="110"/>
  <c r="V17" i="100"/>
  <c r="Q17" i="100"/>
  <c r="C45" i="100" s="1"/>
  <c r="Q16" i="100"/>
  <c r="Q14" i="100"/>
  <c r="C41" i="100" s="1"/>
  <c r="Q10" i="100"/>
  <c r="C40" i="100" s="1"/>
  <c r="Q9" i="100"/>
  <c r="C44" i="100" s="1"/>
  <c r="C39" i="100"/>
  <c r="L15" i="113"/>
  <c r="L32" i="113"/>
  <c r="L29" i="113"/>
  <c r="L15" i="144"/>
  <c r="U4" i="144"/>
  <c r="Q14" i="116"/>
  <c r="Q15" i="113"/>
  <c r="X22" i="113"/>
  <c r="O19" i="110"/>
  <c r="T51" i="146"/>
  <c r="H51" i="146"/>
  <c r="U50" i="146"/>
  <c r="S50" i="146"/>
  <c r="Q50" i="146"/>
  <c r="U49" i="146"/>
  <c r="S49" i="146"/>
  <c r="Q49" i="146"/>
  <c r="U48" i="146"/>
  <c r="S48" i="146"/>
  <c r="Q48" i="146"/>
  <c r="U47" i="146"/>
  <c r="S47" i="146"/>
  <c r="U46" i="146"/>
  <c r="S46" i="146"/>
  <c r="Q46" i="146"/>
  <c r="U45" i="146"/>
  <c r="S45" i="146"/>
  <c r="Q45" i="146"/>
  <c r="U44" i="146"/>
  <c r="S44" i="146"/>
  <c r="Q44" i="146"/>
  <c r="U43" i="146"/>
  <c r="S43" i="146"/>
  <c r="Q43" i="146"/>
  <c r="U42" i="146"/>
  <c r="S42" i="146"/>
  <c r="Q42" i="146"/>
  <c r="U41" i="146"/>
  <c r="S41" i="146"/>
  <c r="Q41" i="146"/>
  <c r="U40" i="146"/>
  <c r="S40" i="146"/>
  <c r="Q40" i="146"/>
  <c r="U39" i="146"/>
  <c r="S39" i="146"/>
  <c r="Q39" i="146"/>
  <c r="U38" i="146"/>
  <c r="S38" i="146"/>
  <c r="Q38" i="146"/>
  <c r="U37" i="146"/>
  <c r="S37" i="146"/>
  <c r="Q37" i="146"/>
  <c r="U36" i="146"/>
  <c r="S36" i="146"/>
  <c r="Q36" i="146"/>
  <c r="U35" i="146"/>
  <c r="S35" i="146"/>
  <c r="Q35" i="146"/>
  <c r="U34" i="146"/>
  <c r="S34" i="146"/>
  <c r="Q34" i="146"/>
  <c r="U33" i="146"/>
  <c r="S33" i="146"/>
  <c r="Q33" i="146"/>
  <c r="U32" i="146"/>
  <c r="S32" i="146"/>
  <c r="Q32" i="146"/>
  <c r="U31" i="146"/>
  <c r="S31" i="146"/>
  <c r="Q31" i="146"/>
  <c r="U30" i="146"/>
  <c r="S30" i="146"/>
  <c r="Q30" i="146"/>
  <c r="U29" i="146"/>
  <c r="S29" i="146"/>
  <c r="Q29" i="146"/>
  <c r="U28" i="146"/>
  <c r="S28" i="146"/>
  <c r="Q28" i="146"/>
  <c r="U27" i="146"/>
  <c r="S27" i="146"/>
  <c r="Q27" i="146"/>
  <c r="U25" i="146"/>
  <c r="S25" i="146"/>
  <c r="Q25" i="146"/>
  <c r="H19" i="145"/>
  <c r="U26" i="146"/>
  <c r="S26" i="146"/>
  <c r="Q26" i="146"/>
  <c r="U24" i="146"/>
  <c r="S24" i="146"/>
  <c r="Q24" i="146"/>
  <c r="U23" i="146"/>
  <c r="S23" i="146"/>
  <c r="Q23" i="146"/>
  <c r="U22" i="146"/>
  <c r="S22" i="146"/>
  <c r="Q22" i="146"/>
  <c r="U21" i="146"/>
  <c r="S21" i="146"/>
  <c r="Q21" i="146"/>
  <c r="U20" i="146"/>
  <c r="S20" i="146"/>
  <c r="Q20" i="146"/>
  <c r="U19" i="146"/>
  <c r="S19" i="146"/>
  <c r="Q19" i="146"/>
  <c r="O7" i="146"/>
  <c r="R7" i="146"/>
  <c r="S7" i="146"/>
  <c r="U7" i="146"/>
  <c r="AC7" i="146" s="1"/>
  <c r="S8" i="146"/>
  <c r="U8" i="146"/>
  <c r="W8" i="146"/>
  <c r="Z8" i="146"/>
  <c r="AC8" i="146" s="1"/>
  <c r="S9" i="146"/>
  <c r="U9" i="146"/>
  <c r="W9" i="146"/>
  <c r="Z9" i="146"/>
  <c r="R10" i="146"/>
  <c r="V10" i="146" s="1"/>
  <c r="Z10" i="146" s="1"/>
  <c r="S10" i="146"/>
  <c r="U10" i="146"/>
  <c r="W10" i="146"/>
  <c r="R11" i="146"/>
  <c r="S11" i="146"/>
  <c r="U11" i="146"/>
  <c r="V11" i="146"/>
  <c r="W11" i="146"/>
  <c r="Z11" i="146"/>
  <c r="AC11" i="146" s="1"/>
  <c r="Q12" i="146"/>
  <c r="R12" i="146"/>
  <c r="S12" i="146"/>
  <c r="U12" i="146"/>
  <c r="V12" i="146"/>
  <c r="W12" i="146"/>
  <c r="Z12" i="146"/>
  <c r="Q13" i="146"/>
  <c r="R13" i="146"/>
  <c r="S13" i="146"/>
  <c r="U13" i="146"/>
  <c r="V13" i="146"/>
  <c r="Z13" i="146"/>
  <c r="Q14" i="146"/>
  <c r="R14" i="146"/>
  <c r="S14" i="146"/>
  <c r="U14" i="146"/>
  <c r="V14" i="146"/>
  <c r="W14" i="146"/>
  <c r="Z14" i="146"/>
  <c r="AC14" i="146" s="1"/>
  <c r="R15" i="146"/>
  <c r="S15" i="146"/>
  <c r="U15" i="146"/>
  <c r="V15" i="146"/>
  <c r="W15" i="146"/>
  <c r="Z15" i="146"/>
  <c r="AC15" i="146" s="1"/>
  <c r="Q16" i="146"/>
  <c r="R16" i="146"/>
  <c r="S16" i="146"/>
  <c r="U16" i="146"/>
  <c r="V16" i="146"/>
  <c r="W16" i="146"/>
  <c r="Z16" i="146"/>
  <c r="AC16" i="146" s="1"/>
  <c r="Q17" i="146"/>
  <c r="R17" i="146"/>
  <c r="S17" i="146"/>
  <c r="U17" i="146"/>
  <c r="V17" i="146"/>
  <c r="W17" i="146"/>
  <c r="Z17" i="146"/>
  <c r="Q18" i="146"/>
  <c r="R18" i="146"/>
  <c r="S18" i="146"/>
  <c r="U18" i="146"/>
  <c r="V18" i="146"/>
  <c r="W18" i="146"/>
  <c r="Z18" i="146"/>
  <c r="AC18" i="146" s="1"/>
  <c r="R15" i="105"/>
  <c r="R14" i="105"/>
  <c r="R13" i="105"/>
  <c r="R12" i="105"/>
  <c r="R11" i="105"/>
  <c r="R10" i="105"/>
  <c r="R9" i="105"/>
  <c r="R8" i="105"/>
  <c r="R7" i="105"/>
  <c r="R28" i="127"/>
  <c r="R27" i="127"/>
  <c r="R26" i="127"/>
  <c r="R25" i="127"/>
  <c r="R24" i="127"/>
  <c r="R23" i="127"/>
  <c r="R22" i="127"/>
  <c r="R21" i="127"/>
  <c r="R20" i="127"/>
  <c r="R18" i="127"/>
  <c r="R17" i="127"/>
  <c r="R16" i="127"/>
  <c r="R15" i="127"/>
  <c r="R14" i="127"/>
  <c r="R13" i="127"/>
  <c r="R12" i="127"/>
  <c r="R11" i="127"/>
  <c r="R10" i="127"/>
  <c r="R9" i="127"/>
  <c r="R8" i="127"/>
  <c r="R7" i="127"/>
  <c r="R15" i="136"/>
  <c r="T16" i="136"/>
  <c r="R14" i="136"/>
  <c r="R13" i="136"/>
  <c r="R12" i="136"/>
  <c r="R11" i="136"/>
  <c r="R10" i="136"/>
  <c r="R9" i="136"/>
  <c r="R8" i="136"/>
  <c r="R7" i="136"/>
  <c r="R8" i="128"/>
  <c r="R11" i="128"/>
  <c r="R13" i="128"/>
  <c r="R14" i="128"/>
  <c r="R15" i="128"/>
  <c r="R17" i="128"/>
  <c r="R18" i="128"/>
  <c r="R19" i="128"/>
  <c r="R22" i="128"/>
  <c r="R24" i="128"/>
  <c r="Q23" i="128"/>
  <c r="R23" i="128" s="1"/>
  <c r="Q20" i="128"/>
  <c r="R20" i="128" s="1"/>
  <c r="R16" i="128"/>
  <c r="V16" i="128" s="1"/>
  <c r="Q9" i="128"/>
  <c r="R9" i="128" s="1"/>
  <c r="Q7" i="128"/>
  <c r="R29" i="133"/>
  <c r="R8" i="133"/>
  <c r="R9" i="133"/>
  <c r="R10" i="133"/>
  <c r="R11" i="133"/>
  <c r="R12" i="133"/>
  <c r="R13" i="133"/>
  <c r="R14" i="133"/>
  <c r="R15" i="133"/>
  <c r="R16" i="133"/>
  <c r="R17" i="133"/>
  <c r="R18" i="133"/>
  <c r="R19" i="133"/>
  <c r="R20" i="133"/>
  <c r="R21" i="133"/>
  <c r="R22" i="133"/>
  <c r="R23" i="133"/>
  <c r="R24" i="133"/>
  <c r="R25" i="133"/>
  <c r="R26" i="133"/>
  <c r="R27" i="133"/>
  <c r="R28" i="133"/>
  <c r="Q27" i="133"/>
  <c r="Q26" i="133"/>
  <c r="Q23" i="133"/>
  <c r="Q22" i="133"/>
  <c r="Q21" i="133"/>
  <c r="Q20" i="133"/>
  <c r="Q19" i="133"/>
  <c r="Q18" i="133"/>
  <c r="Q17" i="133"/>
  <c r="Q16" i="133"/>
  <c r="Q15" i="133"/>
  <c r="Q14" i="133"/>
  <c r="Q13" i="133"/>
  <c r="Q12" i="133"/>
  <c r="Q10" i="133"/>
  <c r="Q9" i="133"/>
  <c r="Q8" i="133"/>
  <c r="Q7" i="133"/>
  <c r="R7" i="133" s="1"/>
  <c r="O27" i="132"/>
  <c r="Q27" i="132"/>
  <c r="O26" i="132"/>
  <c r="Q26" i="132"/>
  <c r="O24" i="132"/>
  <c r="Q24" i="132"/>
  <c r="R8" i="132"/>
  <c r="R11" i="132"/>
  <c r="R12" i="132"/>
  <c r="R14" i="132"/>
  <c r="R15" i="132"/>
  <c r="R16" i="132"/>
  <c r="R18" i="132"/>
  <c r="R19" i="132"/>
  <c r="R20" i="132"/>
  <c r="R21" i="132"/>
  <c r="R22" i="132"/>
  <c r="R23" i="132"/>
  <c r="R25" i="132"/>
  <c r="Q28" i="132"/>
  <c r="Q17" i="132"/>
  <c r="Q10" i="132"/>
  <c r="Q9" i="132"/>
  <c r="R9" i="132" s="1"/>
  <c r="Q7" i="132"/>
  <c r="Q27" i="135"/>
  <c r="W27" i="135" s="1"/>
  <c r="Q26" i="135"/>
  <c r="W26" i="135" s="1"/>
  <c r="Q25" i="135"/>
  <c r="W25" i="135" s="1"/>
  <c r="Q24" i="135"/>
  <c r="W24" i="135" s="1"/>
  <c r="Q22" i="135"/>
  <c r="W22" i="135" s="1"/>
  <c r="Q20" i="135"/>
  <c r="W20" i="135" s="1"/>
  <c r="W28" i="135" s="1"/>
  <c r="Q18" i="135"/>
  <c r="W18" i="135" s="1"/>
  <c r="Q16" i="135"/>
  <c r="W16" i="135" s="1"/>
  <c r="Q15" i="135"/>
  <c r="W15" i="135" s="1"/>
  <c r="Q13" i="135"/>
  <c r="W13" i="135" s="1"/>
  <c r="Q10" i="135"/>
  <c r="W10" i="135" s="1"/>
  <c r="Q9" i="135"/>
  <c r="W9" i="135" s="1"/>
  <c r="Q7" i="135"/>
  <c r="W7" i="135" s="1"/>
  <c r="R10" i="107"/>
  <c r="R9" i="107"/>
  <c r="R7" i="107"/>
  <c r="R12" i="106"/>
  <c r="R11" i="106"/>
  <c r="R8" i="106"/>
  <c r="R7" i="106"/>
  <c r="Q30" i="131"/>
  <c r="Q28" i="131"/>
  <c r="Q27" i="131"/>
  <c r="Q26" i="131"/>
  <c r="Q11" i="131"/>
  <c r="Q20" i="138"/>
  <c r="R20" i="138" s="1"/>
  <c r="Q19" i="138"/>
  <c r="R19" i="138" s="1"/>
  <c r="Q18" i="138"/>
  <c r="R18" i="138" s="1"/>
  <c r="Q17" i="138"/>
  <c r="Q15" i="138"/>
  <c r="Q14" i="138"/>
  <c r="Q13" i="138"/>
  <c r="Q12" i="138"/>
  <c r="Q11" i="138"/>
  <c r="Q10" i="138"/>
  <c r="R10" i="138"/>
  <c r="R9" i="138"/>
  <c r="R8" i="138"/>
  <c r="R7" i="138"/>
  <c r="Q11" i="139"/>
  <c r="Q10" i="139"/>
  <c r="Q9" i="139"/>
  <c r="Q8" i="139"/>
  <c r="Q7" i="139"/>
  <c r="R9" i="139"/>
  <c r="R8" i="139"/>
  <c r="R7" i="139"/>
  <c r="Q10" i="106"/>
  <c r="R10" i="106" s="1"/>
  <c r="Q9" i="106"/>
  <c r="Q18" i="145"/>
  <c r="Q12" i="145"/>
  <c r="Q11" i="145"/>
  <c r="Q8" i="145"/>
  <c r="Q7" i="145"/>
  <c r="R8" i="145"/>
  <c r="Q38" i="142"/>
  <c r="Q34" i="142"/>
  <c r="Q35" i="142"/>
  <c r="Q36" i="142"/>
  <c r="Q33" i="142"/>
  <c r="Q31" i="142"/>
  <c r="Q26" i="142"/>
  <c r="Q24" i="142"/>
  <c r="Q21" i="142"/>
  <c r="Q22" i="142"/>
  <c r="Q17" i="142"/>
  <c r="Q16" i="142"/>
  <c r="Q15" i="142"/>
  <c r="Q14" i="142"/>
  <c r="Q13" i="142"/>
  <c r="Q12" i="142"/>
  <c r="Q11" i="142"/>
  <c r="R38" i="142"/>
  <c r="R23" i="142"/>
  <c r="V23" i="142" s="1"/>
  <c r="R29" i="142"/>
  <c r="R37" i="142"/>
  <c r="Q33" i="143"/>
  <c r="Q31" i="143"/>
  <c r="Q29" i="143"/>
  <c r="Q30" i="143"/>
  <c r="Q27" i="143"/>
  <c r="Q23" i="143"/>
  <c r="Q24" i="143"/>
  <c r="Q22" i="143"/>
  <c r="Q20" i="143"/>
  <c r="R18" i="143"/>
  <c r="Q15" i="143"/>
  <c r="R10" i="143"/>
  <c r="R11" i="143"/>
  <c r="R14" i="143"/>
  <c r="R19" i="143"/>
  <c r="Q13" i="143"/>
  <c r="R10" i="139"/>
  <c r="R11" i="139"/>
  <c r="R13" i="139"/>
  <c r="R11" i="138"/>
  <c r="R13" i="138"/>
  <c r="R14" i="138"/>
  <c r="R15" i="138"/>
  <c r="R16" i="138"/>
  <c r="R17" i="138"/>
  <c r="U8" i="131"/>
  <c r="U8" i="127"/>
  <c r="W7" i="138"/>
  <c r="S12" i="106"/>
  <c r="S11" i="106"/>
  <c r="S10" i="106"/>
  <c r="S9" i="106"/>
  <c r="S8" i="106"/>
  <c r="S7" i="106"/>
  <c r="W12" i="106"/>
  <c r="W11" i="106"/>
  <c r="W10" i="106"/>
  <c r="W9" i="106"/>
  <c r="W8" i="106"/>
  <c r="W7" i="106"/>
  <c r="W10" i="107"/>
  <c r="W9" i="107"/>
  <c r="W7" i="107"/>
  <c r="W12" i="135"/>
  <c r="W15" i="132"/>
  <c r="W13" i="132"/>
  <c r="W25" i="132"/>
  <c r="W23" i="132"/>
  <c r="W22" i="132"/>
  <c r="W21" i="132"/>
  <c r="W20" i="132"/>
  <c r="W19" i="132"/>
  <c r="W18" i="132"/>
  <c r="W16" i="132"/>
  <c r="W14" i="132"/>
  <c r="W8" i="132"/>
  <c r="O8" i="132"/>
  <c r="O10" i="132"/>
  <c r="R10" i="132" s="1"/>
  <c r="O9" i="132"/>
  <c r="O7" i="132"/>
  <c r="W8" i="133"/>
  <c r="W7" i="133"/>
  <c r="W29" i="133"/>
  <c r="W28" i="133"/>
  <c r="W24" i="133"/>
  <c r="W25" i="133"/>
  <c r="S25" i="133"/>
  <c r="S24" i="133"/>
  <c r="O15" i="136"/>
  <c r="V14" i="136"/>
  <c r="V13" i="136"/>
  <c r="V12" i="136"/>
  <c r="V11" i="136"/>
  <c r="V10" i="136"/>
  <c r="V9" i="136"/>
  <c r="V8" i="136"/>
  <c r="U7" i="136"/>
  <c r="S10" i="136"/>
  <c r="S9" i="136"/>
  <c r="S8" i="136"/>
  <c r="S7" i="136"/>
  <c r="S15" i="136"/>
  <c r="S14" i="136"/>
  <c r="S13" i="136"/>
  <c r="S12" i="136"/>
  <c r="S11" i="136"/>
  <c r="W19" i="127"/>
  <c r="W18" i="127"/>
  <c r="V18" i="127"/>
  <c r="V17" i="127"/>
  <c r="V15" i="127"/>
  <c r="V14" i="127"/>
  <c r="V13" i="127"/>
  <c r="O13" i="127"/>
  <c r="O12" i="127"/>
  <c r="O11" i="127"/>
  <c r="O10" i="127"/>
  <c r="O9" i="127"/>
  <c r="O8" i="127"/>
  <c r="O7" i="127"/>
  <c r="V30" i="137"/>
  <c r="V28" i="137"/>
  <c r="V27" i="137"/>
  <c r="V26" i="137"/>
  <c r="V25" i="137"/>
  <c r="V24" i="137"/>
  <c r="V23" i="137"/>
  <c r="V22" i="137"/>
  <c r="V21" i="137"/>
  <c r="V20" i="137"/>
  <c r="V19" i="137"/>
  <c r="V18" i="137"/>
  <c r="V17" i="137"/>
  <c r="V16" i="137"/>
  <c r="V15" i="137"/>
  <c r="V14" i="137"/>
  <c r="V13" i="137"/>
  <c r="V12" i="137"/>
  <c r="V11" i="137"/>
  <c r="V10" i="137"/>
  <c r="V9" i="137"/>
  <c r="V8" i="137"/>
  <c r="Q27" i="127"/>
  <c r="W31" i="137"/>
  <c r="R30" i="137"/>
  <c r="R29" i="137"/>
  <c r="V29" i="137" s="1"/>
  <c r="R28" i="137"/>
  <c r="R27" i="137"/>
  <c r="R26" i="137"/>
  <c r="R25" i="137"/>
  <c r="R24" i="137"/>
  <c r="R23" i="137"/>
  <c r="R22" i="137"/>
  <c r="R21" i="137"/>
  <c r="R20" i="137"/>
  <c r="R19" i="137"/>
  <c r="R18" i="137"/>
  <c r="R17" i="137"/>
  <c r="R16" i="137"/>
  <c r="R15" i="137"/>
  <c r="R14" i="137"/>
  <c r="R13" i="137"/>
  <c r="R12" i="137"/>
  <c r="R11" i="137"/>
  <c r="R10" i="137"/>
  <c r="R9" i="137"/>
  <c r="R8" i="137"/>
  <c r="R7" i="137"/>
  <c r="V7" i="137" s="1"/>
  <c r="O29" i="137"/>
  <c r="O28" i="137"/>
  <c r="O27" i="137"/>
  <c r="O26" i="137"/>
  <c r="O25" i="137"/>
  <c r="O24" i="137"/>
  <c r="O23" i="137"/>
  <c r="O22" i="137"/>
  <c r="O21" i="137"/>
  <c r="O20" i="137"/>
  <c r="O19" i="137"/>
  <c r="O18" i="137"/>
  <c r="Q16" i="127"/>
  <c r="O17" i="137"/>
  <c r="O16" i="137"/>
  <c r="O15" i="137"/>
  <c r="O14" i="137"/>
  <c r="O12" i="137"/>
  <c r="O11" i="137"/>
  <c r="O10" i="137"/>
  <c r="O9" i="137"/>
  <c r="O13" i="137"/>
  <c r="O8" i="137"/>
  <c r="O7" i="137"/>
  <c r="V16" i="127"/>
  <c r="S7" i="127"/>
  <c r="W8" i="127"/>
  <c r="W7" i="127"/>
  <c r="V10" i="100"/>
  <c r="E5" i="100"/>
  <c r="E9" i="100"/>
  <c r="E10" i="100"/>
  <c r="E14" i="100"/>
  <c r="E15" i="100"/>
  <c r="E16" i="100"/>
  <c r="E17" i="100"/>
  <c r="D5" i="100"/>
  <c r="D9" i="100"/>
  <c r="D10" i="100"/>
  <c r="D14" i="100"/>
  <c r="D15" i="100"/>
  <c r="D16" i="100"/>
  <c r="D17" i="100"/>
  <c r="I4" i="141"/>
  <c r="V15" i="136"/>
  <c r="V9" i="100"/>
  <c r="W32" i="143"/>
  <c r="W33" i="143"/>
  <c r="W30" i="143"/>
  <c r="W31" i="143"/>
  <c r="W28" i="143"/>
  <c r="W29" i="143"/>
  <c r="W27" i="143"/>
  <c r="W26" i="143"/>
  <c r="W25" i="143"/>
  <c r="W24" i="143"/>
  <c r="W23" i="143"/>
  <c r="W22" i="143"/>
  <c r="W20" i="143"/>
  <c r="W19" i="143"/>
  <c r="W18" i="143"/>
  <c r="W17" i="143"/>
  <c r="W16" i="143"/>
  <c r="W15" i="143"/>
  <c r="W14" i="143"/>
  <c r="W13" i="143"/>
  <c r="W12" i="143"/>
  <c r="W11" i="143"/>
  <c r="W9" i="143"/>
  <c r="W8" i="143"/>
  <c r="W22" i="141"/>
  <c r="W21" i="141"/>
  <c r="W8" i="141"/>
  <c r="W9" i="141"/>
  <c r="W10" i="141"/>
  <c r="W11" i="141"/>
  <c r="W12" i="141"/>
  <c r="W13" i="141"/>
  <c r="W14" i="141"/>
  <c r="W15" i="141"/>
  <c r="W16" i="141"/>
  <c r="W17" i="141"/>
  <c r="W18" i="141"/>
  <c r="W19" i="141"/>
  <c r="W20" i="141"/>
  <c r="W23" i="141"/>
  <c r="W24" i="141"/>
  <c r="W25" i="141"/>
  <c r="W26" i="141"/>
  <c r="W27" i="141"/>
  <c r="W7" i="141"/>
  <c r="W13" i="139"/>
  <c r="V14" i="100" s="1"/>
  <c r="W11" i="139"/>
  <c r="W10" i="139"/>
  <c r="W9" i="139"/>
  <c r="W8" i="139"/>
  <c r="W7" i="139"/>
  <c r="W18" i="138"/>
  <c r="W17" i="138"/>
  <c r="W15" i="138"/>
  <c r="W14" i="138"/>
  <c r="W13" i="138"/>
  <c r="W12" i="138"/>
  <c r="U12" i="100" s="1"/>
  <c r="W10" i="138"/>
  <c r="W9" i="138"/>
  <c r="W30" i="131"/>
  <c r="W28" i="131"/>
  <c r="W27" i="131"/>
  <c r="W26" i="131"/>
  <c r="W25" i="131"/>
  <c r="W24" i="131"/>
  <c r="W23" i="131"/>
  <c r="W22" i="131"/>
  <c r="W21" i="131"/>
  <c r="W20" i="131"/>
  <c r="W19" i="131"/>
  <c r="W18" i="131"/>
  <c r="W17" i="131"/>
  <c r="W16" i="131"/>
  <c r="W11" i="131"/>
  <c r="W10" i="131"/>
  <c r="W9" i="131"/>
  <c r="W8" i="131"/>
  <c r="W7" i="131"/>
  <c r="U18" i="131"/>
  <c r="I5" i="100"/>
  <c r="Q7" i="144"/>
  <c r="Q8" i="144"/>
  <c r="Q9" i="144"/>
  <c r="Q10" i="144"/>
  <c r="Q11" i="144"/>
  <c r="Q12" i="144"/>
  <c r="Q13" i="144"/>
  <c r="Q14" i="144"/>
  <c r="Q15" i="144"/>
  <c r="Q16" i="144"/>
  <c r="Q17" i="144"/>
  <c r="Q18" i="144"/>
  <c r="Q19" i="144"/>
  <c r="Q20" i="144"/>
  <c r="Q21" i="144"/>
  <c r="Q22" i="144"/>
  <c r="Q23" i="144"/>
  <c r="Q24" i="144"/>
  <c r="L5" i="144"/>
  <c r="O5" i="144" s="1"/>
  <c r="U30" i="133"/>
  <c r="U7" i="135"/>
  <c r="O13" i="145"/>
  <c r="O11" i="145"/>
  <c r="O10" i="145"/>
  <c r="O9" i="145"/>
  <c r="O8" i="145"/>
  <c r="O7" i="145"/>
  <c r="R7" i="145" s="1"/>
  <c r="T19" i="145"/>
  <c r="U18" i="145"/>
  <c r="S18" i="145"/>
  <c r="O18" i="145"/>
  <c r="U17" i="145"/>
  <c r="S17" i="145"/>
  <c r="Q17" i="145"/>
  <c r="O17" i="145"/>
  <c r="U16" i="145"/>
  <c r="S16" i="145"/>
  <c r="Q16" i="145"/>
  <c r="O16" i="145"/>
  <c r="U15" i="145"/>
  <c r="S15" i="145"/>
  <c r="Q15" i="145"/>
  <c r="R15" i="145" s="1"/>
  <c r="O15" i="145"/>
  <c r="U14" i="145"/>
  <c r="S14" i="145"/>
  <c r="Q14" i="145"/>
  <c r="O14" i="145"/>
  <c r="U13" i="145"/>
  <c r="S13" i="145"/>
  <c r="Q13" i="145"/>
  <c r="U12" i="145"/>
  <c r="S12" i="145"/>
  <c r="O12" i="145"/>
  <c r="U11" i="145"/>
  <c r="S11" i="145"/>
  <c r="U10" i="145"/>
  <c r="S10" i="145"/>
  <c r="Q10" i="145"/>
  <c r="U9" i="145"/>
  <c r="S9" i="145"/>
  <c r="Q9" i="145"/>
  <c r="R9" i="145" s="1"/>
  <c r="U8" i="145"/>
  <c r="S8" i="145"/>
  <c r="U7" i="145"/>
  <c r="S7" i="145"/>
  <c r="U31" i="137"/>
  <c r="Q15" i="100" s="1"/>
  <c r="H39" i="142"/>
  <c r="U5" i="113"/>
  <c r="U4" i="113"/>
  <c r="U34" i="113" s="1"/>
  <c r="U8" i="112"/>
  <c r="U7" i="112"/>
  <c r="U6" i="112"/>
  <c r="U5" i="112"/>
  <c r="U4" i="112"/>
  <c r="U28" i="141"/>
  <c r="I17" i="100"/>
  <c r="H17" i="100"/>
  <c r="O23" i="100"/>
  <c r="O10" i="106"/>
  <c r="U7" i="106"/>
  <c r="U15" i="141"/>
  <c r="L33" i="113"/>
  <c r="N33" i="113"/>
  <c r="O33" i="113"/>
  <c r="Q33" i="113"/>
  <c r="U33" i="113"/>
  <c r="L4" i="113"/>
  <c r="L8" i="113"/>
  <c r="L9" i="113"/>
  <c r="O9" i="113" s="1"/>
  <c r="L10" i="113"/>
  <c r="O10" i="113" s="1"/>
  <c r="L11" i="113"/>
  <c r="O11" i="113" s="1"/>
  <c r="L12" i="113"/>
  <c r="L13" i="113"/>
  <c r="L14" i="113"/>
  <c r="L16" i="113"/>
  <c r="L17" i="113"/>
  <c r="L18" i="113"/>
  <c r="L19" i="113"/>
  <c r="L20" i="113"/>
  <c r="L21" i="113"/>
  <c r="L22" i="113"/>
  <c r="O22" i="113" s="1"/>
  <c r="L23" i="113"/>
  <c r="O23" i="113" s="1"/>
  <c r="L24" i="113"/>
  <c r="O24" i="113" s="1"/>
  <c r="L25" i="113"/>
  <c r="L26" i="113"/>
  <c r="L27" i="113"/>
  <c r="L28" i="113"/>
  <c r="L30" i="113"/>
  <c r="O30" i="113" s="1"/>
  <c r="L31" i="113"/>
  <c r="L5" i="113"/>
  <c r="Q11" i="116"/>
  <c r="Q10" i="116"/>
  <c r="Q4" i="116"/>
  <c r="E5" i="110" s="1"/>
  <c r="U32" i="113"/>
  <c r="O27" i="113"/>
  <c r="O28" i="113"/>
  <c r="O29" i="113"/>
  <c r="O31" i="113"/>
  <c r="O32" i="113"/>
  <c r="Q4" i="144"/>
  <c r="E6" i="110" s="1"/>
  <c r="K6" i="110" s="1"/>
  <c r="U24" i="144"/>
  <c r="L24" i="144"/>
  <c r="O24" i="144" s="1"/>
  <c r="U23" i="144"/>
  <c r="L23" i="144"/>
  <c r="O23" i="144" s="1"/>
  <c r="U22" i="144"/>
  <c r="L22" i="144"/>
  <c r="O22" i="144" s="1"/>
  <c r="U21" i="144"/>
  <c r="L21" i="144"/>
  <c r="O21" i="144" s="1"/>
  <c r="U20" i="144"/>
  <c r="L20" i="144"/>
  <c r="O20" i="144" s="1"/>
  <c r="U19" i="144"/>
  <c r="L19" i="144"/>
  <c r="O19" i="144" s="1"/>
  <c r="U18" i="144"/>
  <c r="L18" i="144"/>
  <c r="O18" i="144" s="1"/>
  <c r="U17" i="144"/>
  <c r="L17" i="144"/>
  <c r="O17" i="144" s="1"/>
  <c r="U16" i="144"/>
  <c r="L16" i="144"/>
  <c r="O16" i="144" s="1"/>
  <c r="U15" i="144"/>
  <c r="O15" i="144"/>
  <c r="U14" i="144"/>
  <c r="L14" i="144"/>
  <c r="O14" i="144" s="1"/>
  <c r="U13" i="144"/>
  <c r="L13" i="144"/>
  <c r="O13" i="144" s="1"/>
  <c r="U12" i="144"/>
  <c r="L12" i="144"/>
  <c r="O12" i="144" s="1"/>
  <c r="U11" i="144"/>
  <c r="L11" i="144"/>
  <c r="O11" i="144" s="1"/>
  <c r="U10" i="144"/>
  <c r="L10" i="144"/>
  <c r="O10" i="144" s="1"/>
  <c r="U9" i="144"/>
  <c r="L9" i="144"/>
  <c r="O9" i="144" s="1"/>
  <c r="U8" i="144"/>
  <c r="L8" i="144"/>
  <c r="O8" i="144" s="1"/>
  <c r="U7" i="144"/>
  <c r="L7" i="144"/>
  <c r="O7" i="144" s="1"/>
  <c r="U6" i="144"/>
  <c r="Q6" i="144"/>
  <c r="L6" i="144"/>
  <c r="O6" i="144" s="1"/>
  <c r="U5" i="144"/>
  <c r="Q5" i="144"/>
  <c r="L4" i="144"/>
  <c r="O4" i="144" s="1"/>
  <c r="Q20" i="141"/>
  <c r="Q21" i="141"/>
  <c r="Q22" i="141"/>
  <c r="Q23" i="141"/>
  <c r="Q24" i="141"/>
  <c r="Q25" i="141"/>
  <c r="Q26" i="141"/>
  <c r="Q27" i="141"/>
  <c r="Q19" i="141"/>
  <c r="Q18" i="141"/>
  <c r="Q17" i="141"/>
  <c r="Q16" i="141"/>
  <c r="Q15" i="141"/>
  <c r="Q14" i="141"/>
  <c r="Q13" i="141"/>
  <c r="Q8" i="141"/>
  <c r="Q10" i="141"/>
  <c r="Q12" i="141"/>
  <c r="Q11" i="141"/>
  <c r="Q9" i="141"/>
  <c r="Q7" i="141"/>
  <c r="U10" i="116"/>
  <c r="U23" i="128"/>
  <c r="S7" i="128"/>
  <c r="U28" i="127"/>
  <c r="U27" i="127"/>
  <c r="U7" i="105"/>
  <c r="Q34" i="116"/>
  <c r="Q9" i="113"/>
  <c r="Q29" i="112"/>
  <c r="N4" i="112"/>
  <c r="Q4" i="112"/>
  <c r="I3" i="110" s="1"/>
  <c r="Q22" i="112"/>
  <c r="U7" i="127"/>
  <c r="U7" i="132"/>
  <c r="U7" i="133"/>
  <c r="U7" i="128"/>
  <c r="N5" i="113"/>
  <c r="N4" i="113"/>
  <c r="S11" i="143"/>
  <c r="U11" i="143"/>
  <c r="S12" i="143"/>
  <c r="U12" i="143"/>
  <c r="O11" i="143"/>
  <c r="V11" i="143" s="1"/>
  <c r="Z11" i="143" s="1"/>
  <c r="AC11" i="143" s="1"/>
  <c r="O12" i="143"/>
  <c r="T34" i="143"/>
  <c r="H34" i="143"/>
  <c r="U33" i="143"/>
  <c r="S33" i="143"/>
  <c r="O33" i="143"/>
  <c r="U32" i="143"/>
  <c r="S32" i="143"/>
  <c r="O32" i="143"/>
  <c r="U31" i="143"/>
  <c r="S31" i="143"/>
  <c r="O31" i="143"/>
  <c r="U30" i="143"/>
  <c r="S30" i="143"/>
  <c r="O30" i="143"/>
  <c r="U29" i="143"/>
  <c r="S29" i="143"/>
  <c r="O29" i="143"/>
  <c r="U28" i="143"/>
  <c r="S28" i="143"/>
  <c r="O28" i="143"/>
  <c r="U27" i="143"/>
  <c r="S27" i="143"/>
  <c r="O27" i="143"/>
  <c r="U26" i="143"/>
  <c r="S26" i="143"/>
  <c r="O26" i="143"/>
  <c r="U25" i="143"/>
  <c r="S25" i="143"/>
  <c r="O25" i="143"/>
  <c r="U24" i="143"/>
  <c r="S24" i="143"/>
  <c r="O24" i="143"/>
  <c r="U23" i="143"/>
  <c r="S23" i="143"/>
  <c r="O23" i="143"/>
  <c r="U22" i="143"/>
  <c r="S22" i="143"/>
  <c r="O22" i="143"/>
  <c r="U20" i="143"/>
  <c r="S20" i="143"/>
  <c r="O20" i="143"/>
  <c r="U19" i="143"/>
  <c r="S19" i="143"/>
  <c r="O19" i="143"/>
  <c r="V19" i="143" s="1"/>
  <c r="U18" i="143"/>
  <c r="S18" i="143"/>
  <c r="O18" i="143"/>
  <c r="V18" i="143" s="1"/>
  <c r="U17" i="143"/>
  <c r="S17" i="143"/>
  <c r="O17" i="143"/>
  <c r="U16" i="143"/>
  <c r="S16" i="143"/>
  <c r="O16" i="143"/>
  <c r="U15" i="143"/>
  <c r="S15" i="143"/>
  <c r="O15" i="143"/>
  <c r="U14" i="143"/>
  <c r="S14" i="143"/>
  <c r="O14" i="143"/>
  <c r="V14" i="143" s="1"/>
  <c r="U13" i="143"/>
  <c r="S13" i="143"/>
  <c r="O13" i="143"/>
  <c r="U10" i="143"/>
  <c r="S10" i="143"/>
  <c r="O10" i="143"/>
  <c r="V10" i="143" s="1"/>
  <c r="U9" i="143"/>
  <c r="S9" i="143"/>
  <c r="O9" i="143"/>
  <c r="U8" i="143"/>
  <c r="S8" i="143"/>
  <c r="O8" i="143"/>
  <c r="W34" i="143"/>
  <c r="U7" i="143"/>
  <c r="S7" i="143"/>
  <c r="O7" i="143"/>
  <c r="T39" i="142"/>
  <c r="O27" i="142"/>
  <c r="R27" i="142" s="1"/>
  <c r="V27" i="142" s="1"/>
  <c r="S27" i="142"/>
  <c r="Z27" i="142"/>
  <c r="AC27" i="142" s="1"/>
  <c r="O28" i="142"/>
  <c r="R28" i="142" s="1"/>
  <c r="V28" i="142" s="1"/>
  <c r="S28" i="142"/>
  <c r="Z28" i="142"/>
  <c r="AC28" i="142" s="1"/>
  <c r="O29" i="142"/>
  <c r="S29" i="142"/>
  <c r="Z29" i="142"/>
  <c r="AC29" i="142" s="1"/>
  <c r="O30" i="142"/>
  <c r="R30" i="142" s="1"/>
  <c r="V30" i="142" s="1"/>
  <c r="S30" i="142"/>
  <c r="Z30" i="142"/>
  <c r="O31" i="142"/>
  <c r="R31" i="142" s="1"/>
  <c r="S31" i="142"/>
  <c r="Z31" i="142"/>
  <c r="O32" i="142"/>
  <c r="R32" i="142" s="1"/>
  <c r="V32" i="142" s="1"/>
  <c r="S32" i="142"/>
  <c r="Z32" i="142"/>
  <c r="O33" i="142"/>
  <c r="R33" i="142" s="1"/>
  <c r="S33" i="142"/>
  <c r="Z33" i="142"/>
  <c r="O34" i="142"/>
  <c r="R34" i="142" s="1"/>
  <c r="S34" i="142"/>
  <c r="Z34" i="142"/>
  <c r="O35" i="142"/>
  <c r="R35" i="142" s="1"/>
  <c r="S35" i="142"/>
  <c r="Z35" i="142"/>
  <c r="O36" i="142"/>
  <c r="R36" i="142" s="1"/>
  <c r="S36" i="142"/>
  <c r="Z36" i="142"/>
  <c r="O37" i="142"/>
  <c r="S37" i="142"/>
  <c r="Z37" i="142"/>
  <c r="AC37" i="142" s="1"/>
  <c r="O38" i="142"/>
  <c r="S38" i="142"/>
  <c r="Z38" i="142"/>
  <c r="O8" i="142"/>
  <c r="R8" i="142" s="1"/>
  <c r="V8" i="142" s="1"/>
  <c r="O7" i="142"/>
  <c r="R7" i="142" s="1"/>
  <c r="O7" i="141"/>
  <c r="R7" i="141" s="1"/>
  <c r="S7" i="142"/>
  <c r="Z7" i="142"/>
  <c r="AC7" i="142" s="1"/>
  <c r="S8" i="142"/>
  <c r="O9" i="142"/>
  <c r="R9" i="142" s="1"/>
  <c r="V9" i="142" s="1"/>
  <c r="S9" i="142"/>
  <c r="Z9" i="142"/>
  <c r="O10" i="142"/>
  <c r="R10" i="142" s="1"/>
  <c r="S10" i="142"/>
  <c r="Z10" i="142"/>
  <c r="O11" i="142"/>
  <c r="R11" i="142" s="1"/>
  <c r="S11" i="142"/>
  <c r="Z11" i="142"/>
  <c r="O12" i="142"/>
  <c r="R12" i="142" s="1"/>
  <c r="S12" i="142"/>
  <c r="Z12" i="142"/>
  <c r="O13" i="142"/>
  <c r="R13" i="142" s="1"/>
  <c r="S13" i="142"/>
  <c r="Z13" i="142"/>
  <c r="O14" i="142"/>
  <c r="R14" i="142" s="1"/>
  <c r="S14" i="142"/>
  <c r="Z14" i="142"/>
  <c r="O15" i="142"/>
  <c r="R15" i="142" s="1"/>
  <c r="S15" i="142"/>
  <c r="Z15" i="142"/>
  <c r="O16" i="142"/>
  <c r="R16" i="142" s="1"/>
  <c r="S16" i="142"/>
  <c r="Z16" i="142"/>
  <c r="O17" i="142"/>
  <c r="R17" i="142" s="1"/>
  <c r="S17" i="142"/>
  <c r="Z17" i="142"/>
  <c r="O18" i="142"/>
  <c r="R18" i="142" s="1"/>
  <c r="S18" i="142"/>
  <c r="AC18" i="142"/>
  <c r="O19" i="142"/>
  <c r="R19" i="142" s="1"/>
  <c r="V19" i="142" s="1"/>
  <c r="S19" i="142"/>
  <c r="Z19" i="142"/>
  <c r="AC19" i="142" s="1"/>
  <c r="O20" i="142"/>
  <c r="R20" i="142" s="1"/>
  <c r="V20" i="142" s="1"/>
  <c r="S20" i="142"/>
  <c r="Z20" i="142"/>
  <c r="O21" i="142"/>
  <c r="R21" i="142" s="1"/>
  <c r="S21" i="142"/>
  <c r="Z21" i="142"/>
  <c r="O22" i="142"/>
  <c r="R22" i="142" s="1"/>
  <c r="S22" i="142"/>
  <c r="Z22" i="142"/>
  <c r="O23" i="142"/>
  <c r="S23" i="142"/>
  <c r="Z23" i="142"/>
  <c r="O24" i="142"/>
  <c r="R24" i="142" s="1"/>
  <c r="S24" i="142"/>
  <c r="Z24" i="142"/>
  <c r="O25" i="142"/>
  <c r="R25" i="142" s="1"/>
  <c r="S25" i="142"/>
  <c r="Z25" i="142"/>
  <c r="AC25" i="142" s="1"/>
  <c r="O26" i="142"/>
  <c r="R26" i="142" s="1"/>
  <c r="S26" i="142"/>
  <c r="Z26" i="142"/>
  <c r="W12" i="105"/>
  <c r="W11" i="105"/>
  <c r="W17" i="105"/>
  <c r="W19" i="105"/>
  <c r="U5" i="116"/>
  <c r="U4" i="116"/>
  <c r="U40" i="116" s="1"/>
  <c r="U14" i="116"/>
  <c r="U13" i="116"/>
  <c r="U18" i="116"/>
  <c r="U16" i="116"/>
  <c r="U15" i="116"/>
  <c r="U19" i="116"/>
  <c r="Q19" i="116"/>
  <c r="Q17" i="116"/>
  <c r="Q13" i="116"/>
  <c r="U10" i="141"/>
  <c r="U11" i="141"/>
  <c r="U12" i="141"/>
  <c r="S10" i="141"/>
  <c r="S11" i="141"/>
  <c r="S12" i="141"/>
  <c r="O10" i="141"/>
  <c r="R10" i="141" s="1"/>
  <c r="V10" i="141" s="1"/>
  <c r="O11" i="141"/>
  <c r="R11" i="141" s="1"/>
  <c r="V11" i="141" s="1"/>
  <c r="Z11" i="141" s="1"/>
  <c r="O12" i="141"/>
  <c r="R12" i="141" s="1"/>
  <c r="V12" i="141" s="1"/>
  <c r="Z12" i="141" s="1"/>
  <c r="H28" i="141"/>
  <c r="O8" i="141"/>
  <c r="R8" i="141" s="1"/>
  <c r="S8" i="141"/>
  <c r="U8" i="141"/>
  <c r="V8" i="141"/>
  <c r="Z8" i="141"/>
  <c r="O9" i="141"/>
  <c r="R9" i="141" s="1"/>
  <c r="S9" i="141"/>
  <c r="U9" i="141"/>
  <c r="V9" i="141"/>
  <c r="Z9" i="141"/>
  <c r="O13" i="141"/>
  <c r="R13" i="141" s="1"/>
  <c r="S13" i="141"/>
  <c r="U13" i="141"/>
  <c r="V13" i="141"/>
  <c r="Z13" i="141"/>
  <c r="O14" i="141"/>
  <c r="R14" i="141" s="1"/>
  <c r="S14" i="141"/>
  <c r="U14" i="141"/>
  <c r="V14" i="141"/>
  <c r="Z14" i="141"/>
  <c r="O15" i="141"/>
  <c r="R15" i="141" s="1"/>
  <c r="S15" i="141"/>
  <c r="V15" i="141"/>
  <c r="Z15" i="141"/>
  <c r="O16" i="141"/>
  <c r="R16" i="141" s="1"/>
  <c r="S16" i="141"/>
  <c r="U16" i="141"/>
  <c r="V16" i="141"/>
  <c r="Z16" i="141"/>
  <c r="O17" i="141"/>
  <c r="R17" i="141" s="1"/>
  <c r="S17" i="141"/>
  <c r="U17" i="141"/>
  <c r="V17" i="141"/>
  <c r="Z17" i="141"/>
  <c r="O18" i="141"/>
  <c r="R18" i="141" s="1"/>
  <c r="S18" i="141"/>
  <c r="U18" i="141"/>
  <c r="V18" i="141"/>
  <c r="Z18" i="141"/>
  <c r="O19" i="141"/>
  <c r="R19" i="141" s="1"/>
  <c r="S19" i="141"/>
  <c r="U19" i="141"/>
  <c r="V19" i="141"/>
  <c r="Z19" i="141"/>
  <c r="O20" i="141"/>
  <c r="R20" i="141" s="1"/>
  <c r="S20" i="141"/>
  <c r="U20" i="141"/>
  <c r="V20" i="141"/>
  <c r="Z20" i="141"/>
  <c r="O21" i="141"/>
  <c r="R21" i="141" s="1"/>
  <c r="S21" i="141"/>
  <c r="U21" i="141"/>
  <c r="V21" i="141"/>
  <c r="Z21" i="141"/>
  <c r="O22" i="141"/>
  <c r="R22" i="141" s="1"/>
  <c r="S22" i="141"/>
  <c r="U22" i="141"/>
  <c r="V22" i="141"/>
  <c r="Z22" i="141"/>
  <c r="O23" i="141"/>
  <c r="R23" i="141" s="1"/>
  <c r="S23" i="141"/>
  <c r="U23" i="141"/>
  <c r="V23" i="141"/>
  <c r="Z23" i="141"/>
  <c r="O24" i="141"/>
  <c r="R24" i="141" s="1"/>
  <c r="S24" i="141"/>
  <c r="U24" i="141"/>
  <c r="V24" i="141"/>
  <c r="Z24" i="141"/>
  <c r="O25" i="141"/>
  <c r="R25" i="141" s="1"/>
  <c r="S25" i="141"/>
  <c r="U25" i="141"/>
  <c r="V25" i="141"/>
  <c r="Z25" i="141"/>
  <c r="O26" i="141"/>
  <c r="R26" i="141" s="1"/>
  <c r="S26" i="141"/>
  <c r="U26" i="141"/>
  <c r="V26" i="141"/>
  <c r="Z26" i="141"/>
  <c r="O27" i="141"/>
  <c r="R27" i="141" s="1"/>
  <c r="S27" i="141"/>
  <c r="U27" i="141"/>
  <c r="V27" i="141"/>
  <c r="Z27" i="141"/>
  <c r="T28" i="141"/>
  <c r="U7" i="141"/>
  <c r="S7" i="141"/>
  <c r="Q15" i="116"/>
  <c r="S7" i="135"/>
  <c r="S7" i="105"/>
  <c r="V7" i="141"/>
  <c r="Z7" i="141" s="1"/>
  <c r="U10" i="107"/>
  <c r="O10" i="107"/>
  <c r="V10" i="107"/>
  <c r="U10" i="136"/>
  <c r="U11" i="136"/>
  <c r="U12" i="136"/>
  <c r="U13" i="136"/>
  <c r="U14" i="136"/>
  <c r="U15" i="136"/>
  <c r="U7" i="138"/>
  <c r="U8" i="138"/>
  <c r="U9" i="138"/>
  <c r="U10" i="138"/>
  <c r="U11" i="138"/>
  <c r="U12" i="138"/>
  <c r="U13" i="138"/>
  <c r="U14" i="138"/>
  <c r="U15" i="138"/>
  <c r="U16" i="138"/>
  <c r="U17" i="138"/>
  <c r="U18" i="138"/>
  <c r="U19" i="138"/>
  <c r="U20" i="138"/>
  <c r="U7" i="139"/>
  <c r="U8" i="139"/>
  <c r="U9" i="139"/>
  <c r="U10" i="139"/>
  <c r="U11" i="139"/>
  <c r="U12" i="139"/>
  <c r="U13" i="139"/>
  <c r="U14" i="139"/>
  <c r="U7" i="107"/>
  <c r="U8" i="107"/>
  <c r="U9" i="107"/>
  <c r="U8" i="135"/>
  <c r="U9" i="135"/>
  <c r="U10" i="135"/>
  <c r="U11" i="135"/>
  <c r="U12" i="135"/>
  <c r="U13" i="135"/>
  <c r="U14" i="135"/>
  <c r="U15" i="135"/>
  <c r="U16" i="135"/>
  <c r="U17" i="135"/>
  <c r="U18" i="135"/>
  <c r="U19" i="135"/>
  <c r="U20" i="135"/>
  <c r="U21" i="135"/>
  <c r="U22" i="135"/>
  <c r="U23" i="135"/>
  <c r="U24" i="135"/>
  <c r="U25" i="135"/>
  <c r="U26" i="135"/>
  <c r="U27" i="135"/>
  <c r="H10" i="100"/>
  <c r="U8" i="106"/>
  <c r="U9" i="106"/>
  <c r="U10" i="106"/>
  <c r="U11" i="106"/>
  <c r="U12" i="106"/>
  <c r="U8" i="132"/>
  <c r="U9" i="132"/>
  <c r="U10" i="132"/>
  <c r="U11" i="132"/>
  <c r="U12" i="132"/>
  <c r="U13" i="132"/>
  <c r="U14" i="132"/>
  <c r="U15" i="132"/>
  <c r="U16" i="132"/>
  <c r="U17" i="132"/>
  <c r="U18" i="132"/>
  <c r="U19" i="132"/>
  <c r="U20" i="132"/>
  <c r="U21" i="132"/>
  <c r="U22" i="132"/>
  <c r="U23" i="132"/>
  <c r="U25" i="132"/>
  <c r="U28" i="132"/>
  <c r="U7" i="131"/>
  <c r="U9" i="131"/>
  <c r="U10" i="131"/>
  <c r="U11" i="131"/>
  <c r="U12" i="131"/>
  <c r="U13" i="131"/>
  <c r="U14" i="131"/>
  <c r="U15" i="131"/>
  <c r="U16" i="131"/>
  <c r="U17" i="131"/>
  <c r="U19" i="131"/>
  <c r="U20" i="131"/>
  <c r="U21" i="131"/>
  <c r="U22" i="131"/>
  <c r="U23" i="131"/>
  <c r="U24" i="131"/>
  <c r="U25" i="131"/>
  <c r="U26" i="131"/>
  <c r="U27" i="131"/>
  <c r="U28" i="131"/>
  <c r="U29" i="131"/>
  <c r="U30" i="131"/>
  <c r="U31" i="131"/>
  <c r="U9" i="127"/>
  <c r="U10" i="127"/>
  <c r="U11" i="127"/>
  <c r="U12" i="127"/>
  <c r="U13" i="127"/>
  <c r="U14" i="127"/>
  <c r="U15" i="127"/>
  <c r="U16" i="127"/>
  <c r="U17" i="127"/>
  <c r="U18" i="127"/>
  <c r="U19" i="127"/>
  <c r="U20" i="127"/>
  <c r="U21" i="127"/>
  <c r="U22" i="127"/>
  <c r="U23" i="127"/>
  <c r="U24" i="127"/>
  <c r="U25" i="127"/>
  <c r="U26" i="127"/>
  <c r="U8" i="128"/>
  <c r="U9" i="128"/>
  <c r="U10" i="128"/>
  <c r="U11" i="128"/>
  <c r="U13" i="128"/>
  <c r="U14" i="128"/>
  <c r="U15" i="128"/>
  <c r="U16" i="128"/>
  <c r="U17" i="128"/>
  <c r="U18" i="128"/>
  <c r="U19" i="128"/>
  <c r="U20" i="128"/>
  <c r="U22" i="128"/>
  <c r="U24" i="128"/>
  <c r="U8" i="105"/>
  <c r="U9" i="105"/>
  <c r="U10" i="105"/>
  <c r="U11" i="105"/>
  <c r="U12" i="105"/>
  <c r="U13" i="105"/>
  <c r="U14" i="105"/>
  <c r="U15" i="105"/>
  <c r="U16" i="105"/>
  <c r="U17" i="105"/>
  <c r="U18" i="105"/>
  <c r="U19" i="105"/>
  <c r="U8" i="133"/>
  <c r="U9" i="133"/>
  <c r="U10" i="133"/>
  <c r="U11" i="133"/>
  <c r="U12" i="133"/>
  <c r="U13" i="133"/>
  <c r="U14" i="133"/>
  <c r="U15" i="133"/>
  <c r="U16" i="133"/>
  <c r="U17" i="133"/>
  <c r="U18" i="133"/>
  <c r="U19" i="133"/>
  <c r="U20" i="133"/>
  <c r="U21" i="133"/>
  <c r="U22" i="133"/>
  <c r="U23" i="133"/>
  <c r="U24" i="133"/>
  <c r="U25" i="133"/>
  <c r="U26" i="133"/>
  <c r="U27" i="133"/>
  <c r="U28" i="133"/>
  <c r="U29" i="133"/>
  <c r="U35" i="116"/>
  <c r="U36" i="116"/>
  <c r="U37" i="116"/>
  <c r="U38" i="116"/>
  <c r="U6" i="116"/>
  <c r="U7" i="116"/>
  <c r="U8" i="116"/>
  <c r="U9" i="116"/>
  <c r="U11" i="116"/>
  <c r="U12" i="116"/>
  <c r="U17" i="116"/>
  <c r="U20" i="116"/>
  <c r="U21" i="116"/>
  <c r="U22" i="116"/>
  <c r="U23" i="116"/>
  <c r="U24" i="116"/>
  <c r="U25" i="116"/>
  <c r="U26" i="116"/>
  <c r="U27" i="116"/>
  <c r="U28" i="116"/>
  <c r="U29" i="116"/>
  <c r="U30" i="116"/>
  <c r="U31" i="116"/>
  <c r="U32" i="116"/>
  <c r="U33" i="116"/>
  <c r="U34" i="116"/>
  <c r="O8" i="136"/>
  <c r="O9" i="136"/>
  <c r="Z9" i="136" s="1"/>
  <c r="AC9" i="136" s="1"/>
  <c r="Q5" i="116"/>
  <c r="Q6" i="116"/>
  <c r="Q7" i="116"/>
  <c r="Q8" i="116"/>
  <c r="Q9" i="116"/>
  <c r="Q12" i="116"/>
  <c r="Q16" i="116"/>
  <c r="Q18" i="116"/>
  <c r="Q20" i="116"/>
  <c r="Q21" i="116"/>
  <c r="Q22" i="116"/>
  <c r="Q23" i="116"/>
  <c r="Q24" i="116"/>
  <c r="Q25" i="116"/>
  <c r="Q26" i="116"/>
  <c r="Q27" i="116"/>
  <c r="Q28" i="116"/>
  <c r="Q29" i="116"/>
  <c r="Q30" i="116"/>
  <c r="Q31" i="116"/>
  <c r="Q32" i="116"/>
  <c r="Q33" i="116"/>
  <c r="Q35" i="116"/>
  <c r="Q36" i="116"/>
  <c r="Q37" i="116"/>
  <c r="Q38" i="116"/>
  <c r="Q39" i="116"/>
  <c r="Q4" i="113"/>
  <c r="Q5" i="113"/>
  <c r="Q6" i="113"/>
  <c r="Q7" i="113"/>
  <c r="Q8" i="113"/>
  <c r="Q10" i="113"/>
  <c r="Q11" i="113"/>
  <c r="Q12" i="113"/>
  <c r="Q13" i="113"/>
  <c r="Q14" i="113"/>
  <c r="Q16" i="113"/>
  <c r="E4" i="110" s="1"/>
  <c r="Q17" i="113"/>
  <c r="Q18" i="113"/>
  <c r="Q19" i="113"/>
  <c r="Q20" i="113"/>
  <c r="Q21" i="113"/>
  <c r="Q22" i="113"/>
  <c r="Q23" i="113"/>
  <c r="Q24" i="113"/>
  <c r="Q25" i="113"/>
  <c r="Q26" i="113"/>
  <c r="Q27" i="113"/>
  <c r="Q28" i="113"/>
  <c r="Q29" i="113"/>
  <c r="Q30" i="113"/>
  <c r="Q31" i="113"/>
  <c r="Q32" i="113"/>
  <c r="Q5" i="112"/>
  <c r="Q6" i="112"/>
  <c r="Q7" i="112"/>
  <c r="Q8" i="112"/>
  <c r="Q9" i="112"/>
  <c r="Q10" i="112"/>
  <c r="Q11" i="112"/>
  <c r="Q12" i="112"/>
  <c r="Q13" i="112"/>
  <c r="Q14" i="112"/>
  <c r="Q15" i="112"/>
  <c r="Q16" i="112"/>
  <c r="Q17" i="112"/>
  <c r="Q18" i="112"/>
  <c r="Q19" i="112"/>
  <c r="Q20" i="112"/>
  <c r="Q21" i="112"/>
  <c r="Q23" i="112"/>
  <c r="Q24" i="112"/>
  <c r="Q25" i="112"/>
  <c r="Q26" i="112"/>
  <c r="Q27" i="112"/>
  <c r="Q28" i="112"/>
  <c r="O13" i="139"/>
  <c r="V13" i="139"/>
  <c r="Z13" i="139"/>
  <c r="AC13" i="139"/>
  <c r="AC15" i="139"/>
  <c r="Z8" i="137"/>
  <c r="Z9" i="137"/>
  <c r="Z10" i="137"/>
  <c r="Z11" i="137"/>
  <c r="Z12" i="137"/>
  <c r="Z13" i="137"/>
  <c r="Z14" i="137"/>
  <c r="Z15" i="137"/>
  <c r="Z16" i="137"/>
  <c r="Z17" i="137"/>
  <c r="Z18" i="137"/>
  <c r="Z19" i="137"/>
  <c r="Z20" i="137"/>
  <c r="Z21" i="137"/>
  <c r="Z22" i="137"/>
  <c r="Z23" i="137"/>
  <c r="Z24" i="137"/>
  <c r="Z25" i="137"/>
  <c r="Z26" i="137"/>
  <c r="AC26" i="137"/>
  <c r="Z27" i="137"/>
  <c r="AC27" i="137"/>
  <c r="Z29" i="137"/>
  <c r="AC29" i="137"/>
  <c r="Z30" i="137"/>
  <c r="Z7" i="137"/>
  <c r="Z28" i="137"/>
  <c r="AC28" i="137"/>
  <c r="O18" i="105"/>
  <c r="R18" i="105" s="1"/>
  <c r="V18" i="105"/>
  <c r="Z18" i="105"/>
  <c r="AC18" i="105"/>
  <c r="O15" i="105"/>
  <c r="V15" i="105"/>
  <c r="Z15" i="105"/>
  <c r="AC15" i="105"/>
  <c r="O13" i="138"/>
  <c r="W19" i="138"/>
  <c r="N26" i="112"/>
  <c r="U26" i="112"/>
  <c r="N32" i="113"/>
  <c r="N27" i="113"/>
  <c r="N28" i="113"/>
  <c r="N29" i="113"/>
  <c r="N30" i="113"/>
  <c r="N31" i="113"/>
  <c r="W16" i="127"/>
  <c r="W17" i="127"/>
  <c r="W21" i="127"/>
  <c r="W22" i="127"/>
  <c r="W23" i="127"/>
  <c r="W24" i="127"/>
  <c r="W25" i="127"/>
  <c r="W26" i="127"/>
  <c r="W27" i="127"/>
  <c r="Q28" i="127"/>
  <c r="W28" i="127"/>
  <c r="W16" i="105"/>
  <c r="W15" i="105"/>
  <c r="W8" i="105"/>
  <c r="W9" i="105"/>
  <c r="W10" i="105"/>
  <c r="W13" i="105"/>
  <c r="W14" i="105"/>
  <c r="W18" i="105"/>
  <c r="U6" i="113"/>
  <c r="U7" i="113"/>
  <c r="U8" i="113"/>
  <c r="U9" i="113"/>
  <c r="U10" i="113"/>
  <c r="U11" i="113"/>
  <c r="U12" i="113"/>
  <c r="U13" i="113"/>
  <c r="U14" i="113"/>
  <c r="U15" i="113"/>
  <c r="U16" i="113"/>
  <c r="U17" i="113"/>
  <c r="U18" i="113"/>
  <c r="U19" i="113"/>
  <c r="U20" i="113"/>
  <c r="U21" i="113"/>
  <c r="U22" i="113"/>
  <c r="U23" i="113"/>
  <c r="U24" i="113"/>
  <c r="U25" i="113"/>
  <c r="U26" i="113"/>
  <c r="U27" i="113"/>
  <c r="U28" i="113"/>
  <c r="U29" i="113"/>
  <c r="U30" i="113"/>
  <c r="U31" i="113"/>
  <c r="W7" i="128"/>
  <c r="W8" i="128"/>
  <c r="W9" i="128"/>
  <c r="W10" i="128"/>
  <c r="W11" i="128"/>
  <c r="W13" i="128"/>
  <c r="W14" i="128"/>
  <c r="W15" i="128"/>
  <c r="W17" i="128"/>
  <c r="W18" i="128"/>
  <c r="W19" i="128"/>
  <c r="W20" i="128"/>
  <c r="W22" i="128"/>
  <c r="W23" i="128"/>
  <c r="W24" i="128"/>
  <c r="W9" i="132"/>
  <c r="W10" i="132"/>
  <c r="W11" i="132"/>
  <c r="W12" i="132"/>
  <c r="W17" i="132"/>
  <c r="W28" i="132"/>
  <c r="U6" i="100" s="1"/>
  <c r="W9" i="133"/>
  <c r="W10" i="133"/>
  <c r="W11" i="133"/>
  <c r="W12" i="133"/>
  <c r="W13" i="133"/>
  <c r="W14" i="133"/>
  <c r="W15" i="133"/>
  <c r="W16" i="133"/>
  <c r="W17" i="133"/>
  <c r="W18" i="133"/>
  <c r="W19" i="133"/>
  <c r="W20" i="133"/>
  <c r="W21" i="133"/>
  <c r="W22" i="133"/>
  <c r="W23" i="133"/>
  <c r="W26" i="133"/>
  <c r="W27" i="133"/>
  <c r="W30" i="133" s="1"/>
  <c r="Q9" i="131"/>
  <c r="W12" i="131"/>
  <c r="W14" i="131"/>
  <c r="W29" i="131"/>
  <c r="H16" i="136"/>
  <c r="O9" i="106"/>
  <c r="R9" i="106" s="1"/>
  <c r="O8" i="105"/>
  <c r="V8" i="105"/>
  <c r="Z8" i="105"/>
  <c r="O7" i="105"/>
  <c r="V7" i="105"/>
  <c r="Z7" i="105"/>
  <c r="AC7" i="105"/>
  <c r="O7" i="136"/>
  <c r="D3" i="110"/>
  <c r="D4" i="110"/>
  <c r="D5" i="110"/>
  <c r="O7" i="135"/>
  <c r="O8" i="135"/>
  <c r="R8" i="135" s="1"/>
  <c r="V8" i="135" s="1"/>
  <c r="Z8" i="135" s="1"/>
  <c r="AC8" i="135" s="1"/>
  <c r="O9" i="135"/>
  <c r="O10" i="135"/>
  <c r="R10" i="135" s="1"/>
  <c r="V10" i="135" s="1"/>
  <c r="O11" i="135"/>
  <c r="R11" i="135" s="1"/>
  <c r="V11" i="135" s="1"/>
  <c r="O12" i="135"/>
  <c r="R12" i="135" s="1"/>
  <c r="V12" i="135" s="1"/>
  <c r="Z12" i="135" s="1"/>
  <c r="AC12" i="135" s="1"/>
  <c r="O13" i="135"/>
  <c r="O14" i="135"/>
  <c r="R14" i="135"/>
  <c r="V14" i="135" s="1"/>
  <c r="Z14" i="135" s="1"/>
  <c r="AC14" i="135" s="1"/>
  <c r="O15" i="135"/>
  <c r="R15" i="135" s="1"/>
  <c r="V15" i="135" s="1"/>
  <c r="O16" i="135"/>
  <c r="O17" i="135"/>
  <c r="R17" i="135"/>
  <c r="V17" i="135" s="1"/>
  <c r="Z17" i="135" s="1"/>
  <c r="AC17" i="135" s="1"/>
  <c r="O18" i="135"/>
  <c r="O19" i="135"/>
  <c r="R19" i="135"/>
  <c r="V19" i="135" s="1"/>
  <c r="Z19" i="135" s="1"/>
  <c r="AC19" i="135" s="1"/>
  <c r="O20" i="135"/>
  <c r="O21" i="135"/>
  <c r="R21" i="135" s="1"/>
  <c r="V21" i="135" s="1"/>
  <c r="O22" i="135"/>
  <c r="O23" i="135"/>
  <c r="O24" i="135"/>
  <c r="O25" i="135"/>
  <c r="O26" i="135"/>
  <c r="O27" i="135"/>
  <c r="O7" i="139"/>
  <c r="O8" i="139"/>
  <c r="O9" i="139"/>
  <c r="O10" i="139"/>
  <c r="V10" i="139"/>
  <c r="V11" i="139"/>
  <c r="Z11" i="139" s="1"/>
  <c r="O11" i="139"/>
  <c r="Q12" i="139"/>
  <c r="O12" i="139"/>
  <c r="Q14" i="139"/>
  <c r="O14" i="139"/>
  <c r="O7" i="138"/>
  <c r="V7" i="138"/>
  <c r="Z7" i="138"/>
  <c r="AC7" i="138" s="1"/>
  <c r="O8" i="138"/>
  <c r="V8" i="138"/>
  <c r="O9" i="138"/>
  <c r="O10" i="138"/>
  <c r="V10" i="138"/>
  <c r="Z10" i="138"/>
  <c r="O11" i="138"/>
  <c r="V11" i="138"/>
  <c r="Z11" i="138"/>
  <c r="O12" i="138"/>
  <c r="R12" i="138" s="1"/>
  <c r="O14" i="138"/>
  <c r="V14" i="138" s="1"/>
  <c r="Z14" i="138" s="1"/>
  <c r="O15" i="138"/>
  <c r="O16" i="138"/>
  <c r="V16" i="138"/>
  <c r="Z16" i="138"/>
  <c r="AC16" i="138"/>
  <c r="O17" i="138"/>
  <c r="O18" i="138"/>
  <c r="O19" i="138"/>
  <c r="O7" i="131"/>
  <c r="R7" i="131" s="1"/>
  <c r="V7" i="131" s="1"/>
  <c r="Z7" i="131"/>
  <c r="AC7" i="131"/>
  <c r="O8" i="131"/>
  <c r="R8" i="131" s="1"/>
  <c r="O9" i="131"/>
  <c r="O10" i="131"/>
  <c r="R10" i="131" s="1"/>
  <c r="V10" i="131"/>
  <c r="O11" i="131"/>
  <c r="R11" i="131" s="1"/>
  <c r="O12" i="131"/>
  <c r="R12" i="131" s="1"/>
  <c r="O13" i="131"/>
  <c r="R13" i="131" s="1"/>
  <c r="V13" i="131" s="1"/>
  <c r="Z13" i="131" s="1"/>
  <c r="AC13" i="131" s="1"/>
  <c r="O14" i="131"/>
  <c r="R14" i="131" s="1"/>
  <c r="O15" i="131"/>
  <c r="R15" i="131" s="1"/>
  <c r="O16" i="131"/>
  <c r="R16" i="131" s="1"/>
  <c r="V16" i="131"/>
  <c r="Z16" i="131"/>
  <c r="O17" i="131"/>
  <c r="R17" i="131" s="1"/>
  <c r="V17" i="131"/>
  <c r="Z17" i="131"/>
  <c r="O18" i="131"/>
  <c r="R18" i="131"/>
  <c r="V18" i="131"/>
  <c r="O19" i="131"/>
  <c r="R19" i="131" s="1"/>
  <c r="V19" i="131" s="1"/>
  <c r="Z19" i="131" s="1"/>
  <c r="AC19" i="131" s="1"/>
  <c r="O20" i="131"/>
  <c r="R20" i="131" s="1"/>
  <c r="V20" i="131"/>
  <c r="O21" i="131"/>
  <c r="R21" i="131" s="1"/>
  <c r="O22" i="131"/>
  <c r="R22" i="131" s="1"/>
  <c r="V22" i="131"/>
  <c r="O23" i="131"/>
  <c r="R23" i="131" s="1"/>
  <c r="V23" i="131"/>
  <c r="O24" i="131"/>
  <c r="R24" i="131" s="1"/>
  <c r="V24" i="131"/>
  <c r="O25" i="131"/>
  <c r="R25" i="131" s="1"/>
  <c r="V25" i="131"/>
  <c r="Z25" i="131"/>
  <c r="AC25" i="131"/>
  <c r="O29" i="131"/>
  <c r="R29" i="131" s="1"/>
  <c r="V29" i="131"/>
  <c r="Z29" i="131"/>
  <c r="AC29" i="131"/>
  <c r="O26" i="131"/>
  <c r="R26" i="131" s="1"/>
  <c r="O27" i="131"/>
  <c r="R27" i="131" s="1"/>
  <c r="V27" i="131"/>
  <c r="Z27" i="131" s="1"/>
  <c r="O28" i="131"/>
  <c r="R28" i="131" s="1"/>
  <c r="V28" i="131"/>
  <c r="O30" i="131"/>
  <c r="R30" i="131" s="1"/>
  <c r="V30" i="131"/>
  <c r="Z30" i="131"/>
  <c r="O31" i="131"/>
  <c r="R31" i="131" s="1"/>
  <c r="V31" i="131"/>
  <c r="Z31" i="131"/>
  <c r="V7" i="127"/>
  <c r="Z7" i="127"/>
  <c r="AC7" i="127"/>
  <c r="V8" i="127"/>
  <c r="Z8" i="127"/>
  <c r="AC8" i="127"/>
  <c r="V9" i="127"/>
  <c r="V10" i="127"/>
  <c r="V11" i="127"/>
  <c r="V12" i="127"/>
  <c r="Z12" i="127"/>
  <c r="AC12" i="127"/>
  <c r="Z13" i="127"/>
  <c r="AC13" i="127"/>
  <c r="O14" i="127"/>
  <c r="O15" i="127"/>
  <c r="O16" i="127"/>
  <c r="Z16" i="127"/>
  <c r="AC16" i="127"/>
  <c r="O17" i="127"/>
  <c r="Z17" i="127"/>
  <c r="AC17" i="127"/>
  <c r="O18" i="127"/>
  <c r="Z18" i="127"/>
  <c r="AC18" i="127" s="1"/>
  <c r="O19" i="127"/>
  <c r="R19" i="127" s="1"/>
  <c r="V19" i="127" s="1"/>
  <c r="O20" i="127"/>
  <c r="V20" i="127"/>
  <c r="Z20" i="127"/>
  <c r="AC20" i="127"/>
  <c r="O21" i="127"/>
  <c r="V21" i="127"/>
  <c r="Z21" i="127"/>
  <c r="AC21" i="127"/>
  <c r="O22" i="127"/>
  <c r="V22" i="127"/>
  <c r="Z22" i="127"/>
  <c r="AC22" i="127"/>
  <c r="O23" i="127"/>
  <c r="V23" i="127"/>
  <c r="O24" i="127"/>
  <c r="V24" i="127"/>
  <c r="Z24" i="127"/>
  <c r="AC24" i="127"/>
  <c r="O25" i="127"/>
  <c r="V25" i="127"/>
  <c r="AC25" i="127"/>
  <c r="O26" i="127"/>
  <c r="V26" i="127"/>
  <c r="O27" i="127"/>
  <c r="V27" i="127"/>
  <c r="O28" i="127"/>
  <c r="V28" i="127"/>
  <c r="Z28" i="127"/>
  <c r="AC28" i="127"/>
  <c r="O7" i="128"/>
  <c r="O8" i="128"/>
  <c r="V8" i="128"/>
  <c r="Z8" i="128"/>
  <c r="O9" i="128"/>
  <c r="V9" i="128"/>
  <c r="Z9" i="128"/>
  <c r="AC9" i="128"/>
  <c r="O10" i="128"/>
  <c r="O11" i="128"/>
  <c r="V11" i="128"/>
  <c r="O13" i="128"/>
  <c r="V13" i="128"/>
  <c r="O14" i="128"/>
  <c r="V14" i="128"/>
  <c r="Z14" i="128"/>
  <c r="O15" i="128"/>
  <c r="V15" i="128"/>
  <c r="O16" i="128"/>
  <c r="O17" i="128"/>
  <c r="V17" i="128"/>
  <c r="O18" i="128"/>
  <c r="V18" i="128"/>
  <c r="Z18" i="128"/>
  <c r="O19" i="128"/>
  <c r="V19" i="128"/>
  <c r="Z19" i="128"/>
  <c r="O20" i="128"/>
  <c r="V20" i="128"/>
  <c r="Z20" i="128"/>
  <c r="AC20" i="128"/>
  <c r="O22" i="128"/>
  <c r="V22" i="128"/>
  <c r="O23" i="128"/>
  <c r="V23" i="128"/>
  <c r="O24" i="128"/>
  <c r="V24" i="128"/>
  <c r="L25" i="112"/>
  <c r="O25" i="112"/>
  <c r="N25" i="112"/>
  <c r="U25" i="112"/>
  <c r="O9" i="105"/>
  <c r="V9" i="105"/>
  <c r="Z9" i="105"/>
  <c r="AC9" i="105"/>
  <c r="O10" i="105"/>
  <c r="V10" i="105"/>
  <c r="S8" i="107"/>
  <c r="O8" i="107"/>
  <c r="R8" i="107" s="1"/>
  <c r="V8" i="107" s="1"/>
  <c r="Z8" i="107"/>
  <c r="L5" i="116"/>
  <c r="O5" i="116" s="1"/>
  <c r="L6" i="116"/>
  <c r="L7" i="116"/>
  <c r="L8" i="116"/>
  <c r="L9" i="116"/>
  <c r="L10" i="116"/>
  <c r="L11" i="116"/>
  <c r="L12" i="116"/>
  <c r="L13" i="116"/>
  <c r="L14" i="116"/>
  <c r="L15" i="116"/>
  <c r="L16" i="116"/>
  <c r="L17" i="116"/>
  <c r="L18" i="116"/>
  <c r="L19" i="116"/>
  <c r="L20" i="116"/>
  <c r="L21" i="116"/>
  <c r="L22" i="116"/>
  <c r="L23" i="116"/>
  <c r="L24" i="116"/>
  <c r="L25" i="116"/>
  <c r="L26" i="116"/>
  <c r="L27" i="116"/>
  <c r="L28" i="116"/>
  <c r="L29" i="116"/>
  <c r="L30" i="116"/>
  <c r="L31" i="116"/>
  <c r="L32" i="116"/>
  <c r="L33" i="116"/>
  <c r="L34" i="116"/>
  <c r="L35" i="116"/>
  <c r="L36" i="116"/>
  <c r="L37" i="116"/>
  <c r="L38" i="116"/>
  <c r="L39" i="116"/>
  <c r="L4" i="116"/>
  <c r="O4" i="116" s="1"/>
  <c r="I30" i="112"/>
  <c r="U29" i="112"/>
  <c r="N29" i="112"/>
  <c r="L29" i="112"/>
  <c r="O29" i="112"/>
  <c r="U28" i="112"/>
  <c r="N28" i="112"/>
  <c r="L28" i="112"/>
  <c r="O28" i="112" s="1"/>
  <c r="I15" i="100"/>
  <c r="W8" i="138"/>
  <c r="W16" i="138"/>
  <c r="V12" i="100" s="1"/>
  <c r="W20" i="138"/>
  <c r="O13" i="105"/>
  <c r="V13" i="105"/>
  <c r="Z13" i="105"/>
  <c r="AC13" i="105"/>
  <c r="O11" i="105"/>
  <c r="V11" i="105"/>
  <c r="Z11" i="105"/>
  <c r="AC11" i="105"/>
  <c r="O12" i="105"/>
  <c r="V12" i="105"/>
  <c r="Z12" i="105"/>
  <c r="AC12" i="105"/>
  <c r="W15" i="127"/>
  <c r="W14" i="127"/>
  <c r="W13" i="127"/>
  <c r="W12" i="127"/>
  <c r="W11" i="127"/>
  <c r="W10" i="127"/>
  <c r="W9" i="127"/>
  <c r="H15" i="100"/>
  <c r="O12" i="106"/>
  <c r="V12" i="106"/>
  <c r="Z12" i="106"/>
  <c r="AC12" i="106"/>
  <c r="O11" i="106"/>
  <c r="O8" i="106"/>
  <c r="V8" i="106"/>
  <c r="Z8" i="106"/>
  <c r="AC8" i="106"/>
  <c r="S9" i="107"/>
  <c r="S10" i="107"/>
  <c r="O9" i="107"/>
  <c r="V9" i="107"/>
  <c r="S12" i="138"/>
  <c r="T15" i="139"/>
  <c r="H15" i="139"/>
  <c r="S14" i="139"/>
  <c r="S13" i="139"/>
  <c r="S12" i="139"/>
  <c r="S11" i="139"/>
  <c r="S10" i="139"/>
  <c r="S9" i="139"/>
  <c r="S8" i="139"/>
  <c r="S7" i="139"/>
  <c r="O20" i="138"/>
  <c r="V20" i="138"/>
  <c r="Z20" i="138"/>
  <c r="S7" i="138"/>
  <c r="S8" i="138"/>
  <c r="S9" i="138"/>
  <c r="S10" i="138"/>
  <c r="S11" i="138"/>
  <c r="S13" i="138"/>
  <c r="S14" i="138"/>
  <c r="S15" i="138"/>
  <c r="S16" i="138"/>
  <c r="S17" i="138"/>
  <c r="S18" i="138"/>
  <c r="S19" i="138"/>
  <c r="S20" i="138"/>
  <c r="H21" i="138"/>
  <c r="T21" i="138"/>
  <c r="T29" i="127"/>
  <c r="Z15" i="136"/>
  <c r="AC15" i="136"/>
  <c r="O14" i="136"/>
  <c r="Z14" i="136"/>
  <c r="AC14" i="136"/>
  <c r="O13" i="136"/>
  <c r="Z13" i="136"/>
  <c r="O12" i="136"/>
  <c r="Z12" i="136"/>
  <c r="AC12" i="136"/>
  <c r="O11" i="136"/>
  <c r="Z11" i="136"/>
  <c r="AC11" i="136"/>
  <c r="O10" i="136"/>
  <c r="Z10" i="136"/>
  <c r="AC10" i="136"/>
  <c r="H28" i="135"/>
  <c r="T28" i="135"/>
  <c r="S8" i="135"/>
  <c r="S9" i="135"/>
  <c r="S10" i="135"/>
  <c r="S11" i="135"/>
  <c r="S12" i="135"/>
  <c r="S13" i="135"/>
  <c r="S14" i="135"/>
  <c r="S15" i="135"/>
  <c r="S16" i="135"/>
  <c r="S17" i="135"/>
  <c r="S18" i="135"/>
  <c r="S19" i="135"/>
  <c r="S20" i="135"/>
  <c r="S21" i="135"/>
  <c r="S22" i="135"/>
  <c r="S23" i="135"/>
  <c r="S24" i="135"/>
  <c r="S25" i="135"/>
  <c r="S26" i="135"/>
  <c r="S27" i="135"/>
  <c r="T30" i="133"/>
  <c r="H30" i="133"/>
  <c r="O8" i="133"/>
  <c r="V8" i="133"/>
  <c r="Z8" i="133"/>
  <c r="S8" i="133"/>
  <c r="O9" i="133"/>
  <c r="V9" i="133"/>
  <c r="Z9" i="133"/>
  <c r="S9" i="133"/>
  <c r="O10" i="133"/>
  <c r="V10" i="133"/>
  <c r="Z10" i="133"/>
  <c r="S10" i="133"/>
  <c r="O11" i="133"/>
  <c r="V11" i="133"/>
  <c r="Z11" i="133"/>
  <c r="S11" i="133"/>
  <c r="O12" i="133"/>
  <c r="V12" i="133"/>
  <c r="S12" i="133"/>
  <c r="O13" i="133"/>
  <c r="V13" i="133"/>
  <c r="Z13" i="133"/>
  <c r="S13" i="133"/>
  <c r="O14" i="133"/>
  <c r="V14" i="133"/>
  <c r="Z14" i="133"/>
  <c r="S14" i="133"/>
  <c r="O15" i="133"/>
  <c r="V15" i="133"/>
  <c r="Z15" i="133"/>
  <c r="S15" i="133"/>
  <c r="O16" i="133"/>
  <c r="V16" i="133"/>
  <c r="Z16" i="133"/>
  <c r="S16" i="133"/>
  <c r="O17" i="133"/>
  <c r="V17" i="133"/>
  <c r="Z17" i="133"/>
  <c r="S17" i="133"/>
  <c r="O18" i="133"/>
  <c r="V18" i="133"/>
  <c r="Z18" i="133"/>
  <c r="S18" i="133"/>
  <c r="O19" i="133"/>
  <c r="V19" i="133"/>
  <c r="Z19" i="133" s="1"/>
  <c r="S19" i="133"/>
  <c r="O20" i="133"/>
  <c r="V20" i="133"/>
  <c r="S20" i="133"/>
  <c r="O21" i="133"/>
  <c r="V21" i="133"/>
  <c r="Z21" i="133"/>
  <c r="S21" i="133"/>
  <c r="O22" i="133"/>
  <c r="V22" i="133"/>
  <c r="Z22" i="133"/>
  <c r="S22" i="133"/>
  <c r="O23" i="133"/>
  <c r="V23" i="133"/>
  <c r="S23" i="133"/>
  <c r="O24" i="133"/>
  <c r="V24" i="133"/>
  <c r="Z24" i="133"/>
  <c r="O25" i="133"/>
  <c r="V25" i="133"/>
  <c r="Z25" i="133"/>
  <c r="O26" i="133"/>
  <c r="V26" i="133"/>
  <c r="S26" i="133"/>
  <c r="O27" i="133"/>
  <c r="V27" i="133"/>
  <c r="Z27" i="133"/>
  <c r="S27" i="133"/>
  <c r="O28" i="133"/>
  <c r="V28" i="133"/>
  <c r="Z28" i="133"/>
  <c r="S28" i="133"/>
  <c r="O29" i="133"/>
  <c r="V29" i="133"/>
  <c r="Z29" i="133"/>
  <c r="S29" i="133"/>
  <c r="S7" i="133"/>
  <c r="O7" i="133"/>
  <c r="V7" i="133"/>
  <c r="Z7" i="133"/>
  <c r="Z26" i="133"/>
  <c r="T29" i="132"/>
  <c r="H29" i="132"/>
  <c r="V8" i="132"/>
  <c r="S8" i="132"/>
  <c r="V9" i="132"/>
  <c r="Z9" i="132"/>
  <c r="AC9" i="132"/>
  <c r="S9" i="132"/>
  <c r="V10" i="132"/>
  <c r="Z10" i="132"/>
  <c r="AC10" i="132"/>
  <c r="S10" i="132"/>
  <c r="O11" i="132"/>
  <c r="V11" i="132"/>
  <c r="Z11" i="132"/>
  <c r="AC11" i="132"/>
  <c r="S11" i="132"/>
  <c r="O12" i="132"/>
  <c r="V12" i="132"/>
  <c r="Z12" i="132"/>
  <c r="AC12" i="132"/>
  <c r="S12" i="132"/>
  <c r="O13" i="132"/>
  <c r="R13" i="132" s="1"/>
  <c r="V13" i="132"/>
  <c r="Z13" i="132"/>
  <c r="AC13" i="132"/>
  <c r="S13" i="132"/>
  <c r="O14" i="132"/>
  <c r="V14" i="132"/>
  <c r="S14" i="132"/>
  <c r="O15" i="132"/>
  <c r="V15" i="132"/>
  <c r="S15" i="132"/>
  <c r="O16" i="132"/>
  <c r="V16" i="132"/>
  <c r="S16" i="132"/>
  <c r="O17" i="132"/>
  <c r="R17" i="132" s="1"/>
  <c r="V17" i="132"/>
  <c r="S17" i="132"/>
  <c r="O18" i="132"/>
  <c r="V18" i="132"/>
  <c r="S18" i="132"/>
  <c r="O19" i="132"/>
  <c r="V19" i="132"/>
  <c r="S19" i="132"/>
  <c r="O20" i="132"/>
  <c r="V20" i="132"/>
  <c r="S20" i="132"/>
  <c r="O21" i="132"/>
  <c r="V21" i="132"/>
  <c r="S21" i="132"/>
  <c r="O22" i="132"/>
  <c r="V22" i="132"/>
  <c r="S22" i="132"/>
  <c r="O23" i="132"/>
  <c r="V23" i="132"/>
  <c r="S23" i="132"/>
  <c r="Z24" i="132"/>
  <c r="O25" i="132"/>
  <c r="V25" i="132"/>
  <c r="S25" i="132"/>
  <c r="Z26" i="132"/>
  <c r="Z27" i="132"/>
  <c r="O28" i="132"/>
  <c r="R28" i="132" s="1"/>
  <c r="V28" i="132"/>
  <c r="Z28" i="132"/>
  <c r="AC28" i="132"/>
  <c r="S28" i="132"/>
  <c r="S7" i="132"/>
  <c r="S31" i="131"/>
  <c r="S30" i="131"/>
  <c r="S29" i="131"/>
  <c r="S28" i="131"/>
  <c r="S27" i="131"/>
  <c r="S26" i="131"/>
  <c r="S25" i="131"/>
  <c r="S24" i="131"/>
  <c r="S23" i="131"/>
  <c r="S22" i="131"/>
  <c r="S21" i="131"/>
  <c r="S20" i="131"/>
  <c r="S19" i="131"/>
  <c r="S18" i="131"/>
  <c r="S17" i="131"/>
  <c r="S16" i="131"/>
  <c r="S15" i="131"/>
  <c r="S14" i="131"/>
  <c r="S13" i="131"/>
  <c r="S12" i="131"/>
  <c r="S11" i="131"/>
  <c r="S10" i="131"/>
  <c r="S9" i="131"/>
  <c r="S8" i="131"/>
  <c r="S7" i="131"/>
  <c r="T32" i="131"/>
  <c r="H32" i="131"/>
  <c r="T26" i="128"/>
  <c r="H26" i="128"/>
  <c r="S8" i="128"/>
  <c r="S9" i="128"/>
  <c r="S10" i="128"/>
  <c r="S11" i="128"/>
  <c r="S13" i="128"/>
  <c r="S14" i="128"/>
  <c r="S15" i="128"/>
  <c r="S16" i="128"/>
  <c r="S17" i="128"/>
  <c r="S18" i="128"/>
  <c r="S19" i="128"/>
  <c r="S20" i="128"/>
  <c r="S22" i="128"/>
  <c r="S23" i="128"/>
  <c r="S24" i="128"/>
  <c r="S28" i="127"/>
  <c r="S27" i="127"/>
  <c r="S26" i="127"/>
  <c r="S25" i="127"/>
  <c r="S24" i="127"/>
  <c r="S23" i="127"/>
  <c r="S22" i="127"/>
  <c r="S21" i="127"/>
  <c r="S20" i="127"/>
  <c r="S19" i="127"/>
  <c r="S18" i="127"/>
  <c r="S17" i="127"/>
  <c r="S16" i="127"/>
  <c r="S15" i="127"/>
  <c r="S14" i="127"/>
  <c r="S13" i="127"/>
  <c r="S12" i="127"/>
  <c r="S11" i="127"/>
  <c r="S10" i="127"/>
  <c r="S9" i="127"/>
  <c r="S8" i="127"/>
  <c r="H29" i="127"/>
  <c r="U9" i="112"/>
  <c r="U10" i="112"/>
  <c r="U11" i="112"/>
  <c r="U12" i="112"/>
  <c r="U13" i="112"/>
  <c r="U14" i="112"/>
  <c r="U15" i="112"/>
  <c r="U30" i="112" s="1"/>
  <c r="U16" i="112"/>
  <c r="U17" i="112"/>
  <c r="U18" i="112"/>
  <c r="U19" i="112"/>
  <c r="U20" i="112"/>
  <c r="U21" i="112"/>
  <c r="U22" i="112"/>
  <c r="U23" i="112"/>
  <c r="U24" i="112"/>
  <c r="U27" i="112"/>
  <c r="P30" i="112"/>
  <c r="L6" i="113"/>
  <c r="O6" i="113" s="1"/>
  <c r="N6" i="113"/>
  <c r="L7" i="113"/>
  <c r="O7" i="113" s="1"/>
  <c r="N7" i="113"/>
  <c r="O8" i="113"/>
  <c r="N8" i="113"/>
  <c r="N9" i="113"/>
  <c r="N10" i="113"/>
  <c r="N11" i="113"/>
  <c r="O12" i="113"/>
  <c r="N12" i="113"/>
  <c r="O13" i="113"/>
  <c r="N13" i="113"/>
  <c r="O14" i="113"/>
  <c r="N14" i="113"/>
  <c r="O15" i="113"/>
  <c r="N15" i="113"/>
  <c r="O16" i="113"/>
  <c r="N16" i="113"/>
  <c r="O17" i="113"/>
  <c r="N17" i="113"/>
  <c r="O18" i="113"/>
  <c r="N18" i="113"/>
  <c r="O19" i="113"/>
  <c r="N19" i="113"/>
  <c r="O20" i="113"/>
  <c r="N20" i="113"/>
  <c r="O21" i="113"/>
  <c r="N21" i="113"/>
  <c r="N22" i="113"/>
  <c r="N23" i="113"/>
  <c r="N24" i="113"/>
  <c r="O25" i="113"/>
  <c r="N25" i="113"/>
  <c r="O26" i="113"/>
  <c r="N26" i="113"/>
  <c r="L4" i="112"/>
  <c r="O4" i="112" s="1"/>
  <c r="L5" i="112"/>
  <c r="O5" i="112" s="1"/>
  <c r="N5" i="112"/>
  <c r="L6" i="112"/>
  <c r="O6" i="112" s="1"/>
  <c r="N6" i="112"/>
  <c r="L7" i="112"/>
  <c r="O7" i="112"/>
  <c r="N7" i="112"/>
  <c r="L8" i="112"/>
  <c r="O8" i="112" s="1"/>
  <c r="N8" i="112"/>
  <c r="L9" i="112"/>
  <c r="O9" i="112" s="1"/>
  <c r="N9" i="112"/>
  <c r="L10" i="112"/>
  <c r="O10" i="112" s="1"/>
  <c r="N10" i="112"/>
  <c r="L11" i="112"/>
  <c r="O11" i="112"/>
  <c r="N11" i="112"/>
  <c r="L12" i="112"/>
  <c r="O12" i="112" s="1"/>
  <c r="N12" i="112"/>
  <c r="L13" i="112"/>
  <c r="O13" i="112" s="1"/>
  <c r="N13" i="112"/>
  <c r="L14" i="112"/>
  <c r="O14" i="112" s="1"/>
  <c r="N14" i="112"/>
  <c r="L15" i="112"/>
  <c r="O15" i="112"/>
  <c r="N15" i="112"/>
  <c r="L16" i="112"/>
  <c r="O16" i="112" s="1"/>
  <c r="N16" i="112"/>
  <c r="L17" i="112"/>
  <c r="O17" i="112" s="1"/>
  <c r="N17" i="112"/>
  <c r="L18" i="112"/>
  <c r="O18" i="112" s="1"/>
  <c r="N18" i="112"/>
  <c r="L19" i="112"/>
  <c r="O19" i="112"/>
  <c r="N19" i="112"/>
  <c r="L20" i="112"/>
  <c r="O20" i="112" s="1"/>
  <c r="N20" i="112"/>
  <c r="L21" i="112"/>
  <c r="N21" i="112"/>
  <c r="O21" i="112"/>
  <c r="L22" i="112"/>
  <c r="O22" i="112" s="1"/>
  <c r="N22" i="112"/>
  <c r="L23" i="112"/>
  <c r="O23" i="112"/>
  <c r="N23" i="112"/>
  <c r="L24" i="112"/>
  <c r="O24" i="112" s="1"/>
  <c r="N24" i="112"/>
  <c r="L26" i="112"/>
  <c r="O26" i="112" s="1"/>
  <c r="L27" i="112"/>
  <c r="O27" i="112"/>
  <c r="N27" i="112"/>
  <c r="T12" i="107"/>
  <c r="H12" i="107"/>
  <c r="I9" i="100"/>
  <c r="S7" i="107"/>
  <c r="O7" i="107"/>
  <c r="V7" i="107"/>
  <c r="Z7" i="107"/>
  <c r="AC7" i="107"/>
  <c r="T13" i="106"/>
  <c r="H13" i="106"/>
  <c r="V11" i="106"/>
  <c r="V10" i="106"/>
  <c r="Z10" i="106"/>
  <c r="V9" i="106"/>
  <c r="Z9" i="106"/>
  <c r="O7" i="106"/>
  <c r="T20" i="105"/>
  <c r="H20" i="105"/>
  <c r="S19" i="105"/>
  <c r="O19" i="105"/>
  <c r="R19" i="105" s="1"/>
  <c r="V19" i="105"/>
  <c r="Z19" i="105"/>
  <c r="S18" i="105"/>
  <c r="S17" i="105"/>
  <c r="O17" i="105"/>
  <c r="R17" i="105" s="1"/>
  <c r="V17" i="105"/>
  <c r="Z17" i="105"/>
  <c r="S16" i="105"/>
  <c r="O16" i="105"/>
  <c r="R16" i="105" s="1"/>
  <c r="V16" i="105"/>
  <c r="Z16" i="105"/>
  <c r="S15" i="105"/>
  <c r="S14" i="105"/>
  <c r="O14" i="105"/>
  <c r="V14" i="105"/>
  <c r="Z14" i="105"/>
  <c r="S13" i="105"/>
  <c r="S12" i="105"/>
  <c r="S11" i="105"/>
  <c r="S10" i="105"/>
  <c r="S9" i="105"/>
  <c r="S8" i="105"/>
  <c r="AC13" i="136"/>
  <c r="H9" i="100"/>
  <c r="W28" i="141"/>
  <c r="Z17" i="132"/>
  <c r="AC17" i="132"/>
  <c r="Z20" i="133"/>
  <c r="I10" i="100"/>
  <c r="Z10" i="105"/>
  <c r="I8" i="100"/>
  <c r="H8" i="100"/>
  <c r="H12" i="100"/>
  <c r="H11" i="100"/>
  <c r="Z11" i="106"/>
  <c r="AC11" i="106"/>
  <c r="Z15" i="127"/>
  <c r="AC15" i="127"/>
  <c r="H14" i="100"/>
  <c r="Z11" i="128"/>
  <c r="AC11" i="128"/>
  <c r="V26" i="131"/>
  <c r="Z26" i="131"/>
  <c r="W13" i="131"/>
  <c r="C36" i="100"/>
  <c r="V19" i="138"/>
  <c r="Z19" i="138"/>
  <c r="Z23" i="133"/>
  <c r="Z9" i="107"/>
  <c r="AC9" i="107"/>
  <c r="Z16" i="128"/>
  <c r="AC16" i="128"/>
  <c r="Z10" i="127"/>
  <c r="AC10" i="127"/>
  <c r="Z23" i="131"/>
  <c r="AC23" i="131"/>
  <c r="V18" i="138"/>
  <c r="Z18" i="138"/>
  <c r="AC18" i="138" s="1"/>
  <c r="AC21" i="138" s="1"/>
  <c r="AC20" i="105"/>
  <c r="Z9" i="127"/>
  <c r="AC9" i="127"/>
  <c r="Z22" i="131"/>
  <c r="AC22" i="131"/>
  <c r="V12" i="131"/>
  <c r="Z12" i="131"/>
  <c r="AC12" i="131"/>
  <c r="V7" i="139"/>
  <c r="Z7" i="139" s="1"/>
  <c r="V11" i="131"/>
  <c r="Z11" i="131"/>
  <c r="Z17" i="128"/>
  <c r="Z12" i="133"/>
  <c r="Z24" i="128"/>
  <c r="Z10" i="131"/>
  <c r="AC10" i="131"/>
  <c r="V15" i="138"/>
  <c r="V9" i="138"/>
  <c r="Z9" i="138"/>
  <c r="Z24" i="131"/>
  <c r="AC24" i="131"/>
  <c r="Z23" i="128"/>
  <c r="AC23" i="128"/>
  <c r="AC13" i="106"/>
  <c r="V14" i="131"/>
  <c r="Z14" i="131"/>
  <c r="AC14" i="131"/>
  <c r="Z27" i="127"/>
  <c r="AC27" i="127"/>
  <c r="Z7" i="136"/>
  <c r="AC7" i="136" s="1"/>
  <c r="Z22" i="128"/>
  <c r="U29" i="127"/>
  <c r="U12" i="107"/>
  <c r="W29" i="132"/>
  <c r="R11" i="100"/>
  <c r="C38" i="100"/>
  <c r="Z19" i="127"/>
  <c r="AC19" i="127"/>
  <c r="Z28" i="131"/>
  <c r="Z20" i="131"/>
  <c r="AC20" i="131"/>
  <c r="V9" i="139"/>
  <c r="Z9" i="139" s="1"/>
  <c r="H6" i="100"/>
  <c r="S8" i="100"/>
  <c r="Z15" i="138"/>
  <c r="V8" i="139"/>
  <c r="Z8" i="139" s="1"/>
  <c r="V15" i="131"/>
  <c r="Z15" i="131"/>
  <c r="AC15" i="131"/>
  <c r="W12" i="107"/>
  <c r="Z14" i="127"/>
  <c r="AC14" i="127"/>
  <c r="U13" i="106"/>
  <c r="U15" i="139"/>
  <c r="W20" i="105"/>
  <c r="Z8" i="136"/>
  <c r="AC8" i="136" s="1"/>
  <c r="V17" i="138"/>
  <c r="Z17" i="138"/>
  <c r="U16" i="136"/>
  <c r="Z16" i="136" s="1"/>
  <c r="V21" i="131"/>
  <c r="Z21" i="131"/>
  <c r="AC21" i="131"/>
  <c r="Z25" i="128"/>
  <c r="AC25" i="128"/>
  <c r="Z13" i="128"/>
  <c r="R14" i="100"/>
  <c r="W26" i="128"/>
  <c r="R12" i="100"/>
  <c r="V12" i="138"/>
  <c r="Z12" i="138"/>
  <c r="V13" i="138"/>
  <c r="Z13" i="138"/>
  <c r="W29" i="127"/>
  <c r="I12" i="100"/>
  <c r="Z26" i="127"/>
  <c r="AC26" i="127" s="1"/>
  <c r="Z15" i="128"/>
  <c r="Z10" i="107"/>
  <c r="AC10" i="107"/>
  <c r="AC12" i="107" s="1"/>
  <c r="Z23" i="127"/>
  <c r="AC23" i="127"/>
  <c r="Z8" i="138"/>
  <c r="AC8" i="138"/>
  <c r="Z10" i="139"/>
  <c r="S10" i="100"/>
  <c r="W15" i="131"/>
  <c r="S11" i="100"/>
  <c r="U20" i="105"/>
  <c r="Z11" i="127"/>
  <c r="AC11" i="127"/>
  <c r="H13" i="100"/>
  <c r="I4" i="110"/>
  <c r="S14" i="100"/>
  <c r="S13" i="100"/>
  <c r="R13" i="100"/>
  <c r="S12" i="100"/>
  <c r="H5" i="100"/>
  <c r="S6" i="100"/>
  <c r="W21" i="138"/>
  <c r="C34" i="100"/>
  <c r="C37" i="100"/>
  <c r="L14" i="100"/>
  <c r="Z20" i="135" l="1"/>
  <c r="AC20" i="135" s="1"/>
  <c r="S7" i="100"/>
  <c r="R20" i="135"/>
  <c r="V20" i="135" s="1"/>
  <c r="Z10" i="135"/>
  <c r="AC10" i="135" s="1"/>
  <c r="Z15" i="135"/>
  <c r="AC15" i="135" s="1"/>
  <c r="R24" i="135"/>
  <c r="V24" i="135" s="1"/>
  <c r="Z24" i="135" s="1"/>
  <c r="AC24" i="135" s="1"/>
  <c r="I7" i="100"/>
  <c r="Z21" i="135"/>
  <c r="AC21" i="135" s="1"/>
  <c r="Z11" i="135"/>
  <c r="AC11" i="135" s="1"/>
  <c r="U7" i="100"/>
  <c r="R18" i="135"/>
  <c r="V18" i="135" s="1"/>
  <c r="Z18" i="135" s="1"/>
  <c r="AC18" i="135" s="1"/>
  <c r="R22" i="135"/>
  <c r="V22" i="135" s="1"/>
  <c r="Z22" i="135" s="1"/>
  <c r="AC22" i="135" s="1"/>
  <c r="H7" i="100"/>
  <c r="Q25" i="144"/>
  <c r="Q40" i="116"/>
  <c r="P5" i="110" s="1"/>
  <c r="I5" i="110"/>
  <c r="E3" i="110"/>
  <c r="K3" i="110" s="1"/>
  <c r="U14" i="100"/>
  <c r="F21" i="100"/>
  <c r="U28" i="135"/>
  <c r="Q7" i="100" s="1"/>
  <c r="E13" i="100"/>
  <c r="D13" i="100"/>
  <c r="R7" i="100"/>
  <c r="E84" i="100" s="1"/>
  <c r="T7" i="100"/>
  <c r="T23" i="100" s="1"/>
  <c r="R6" i="100"/>
  <c r="T20" i="100"/>
  <c r="S20" i="100"/>
  <c r="R20" i="100"/>
  <c r="H20" i="100"/>
  <c r="V20" i="100"/>
  <c r="E20" i="100"/>
  <c r="D20" i="100"/>
  <c r="I20" i="100"/>
  <c r="V21" i="100"/>
  <c r="S21" i="100"/>
  <c r="T21" i="100"/>
  <c r="U51" i="146"/>
  <c r="T12" i="100"/>
  <c r="E12" i="100"/>
  <c r="D12" i="100"/>
  <c r="S19" i="100"/>
  <c r="R19" i="100"/>
  <c r="T19" i="100"/>
  <c r="E19" i="100"/>
  <c r="D19" i="100"/>
  <c r="Z8" i="142"/>
  <c r="R7" i="128"/>
  <c r="I4" i="100"/>
  <c r="Z18" i="131"/>
  <c r="R9" i="131"/>
  <c r="V9" i="131" s="1"/>
  <c r="Z9" i="131" s="1"/>
  <c r="T11" i="100"/>
  <c r="E11" i="100"/>
  <c r="D11" i="100"/>
  <c r="U32" i="131"/>
  <c r="Q11" i="100" s="1"/>
  <c r="R4" i="100"/>
  <c r="D4" i="100"/>
  <c r="U26" i="128"/>
  <c r="R18" i="100"/>
  <c r="T18" i="100"/>
  <c r="E18" i="100"/>
  <c r="D18" i="100"/>
  <c r="S18" i="100"/>
  <c r="U34" i="143"/>
  <c r="Q18" i="100" s="1"/>
  <c r="C46" i="100" s="1"/>
  <c r="V18" i="100"/>
  <c r="W13" i="106"/>
  <c r="R10" i="128"/>
  <c r="V10" i="128" s="1"/>
  <c r="Z10" i="128" s="1"/>
  <c r="AC10" i="128" s="1"/>
  <c r="F20" i="100"/>
  <c r="F19" i="100"/>
  <c r="F18" i="100"/>
  <c r="F17" i="100"/>
  <c r="F16" i="100"/>
  <c r="F14" i="100"/>
  <c r="F13" i="100"/>
  <c r="F12" i="100"/>
  <c r="F11" i="100"/>
  <c r="F10" i="100"/>
  <c r="F9" i="100"/>
  <c r="F5" i="100"/>
  <c r="F4" i="100"/>
  <c r="F15" i="100"/>
  <c r="D7" i="110"/>
  <c r="K4" i="110"/>
  <c r="K5" i="110"/>
  <c r="V7" i="100"/>
  <c r="E7" i="100"/>
  <c r="D7" i="100"/>
  <c r="R9" i="135"/>
  <c r="V9" i="135" s="1"/>
  <c r="Z9" i="135" s="1"/>
  <c r="AC9" i="135" s="1"/>
  <c r="R13" i="135"/>
  <c r="V13" i="135" s="1"/>
  <c r="Z13" i="135" s="1"/>
  <c r="AC13" i="135" s="1"/>
  <c r="R16" i="135"/>
  <c r="V16" i="135" s="1"/>
  <c r="Z16" i="135" s="1"/>
  <c r="AC16" i="135" s="1"/>
  <c r="R23" i="135"/>
  <c r="V23" i="135" s="1"/>
  <c r="Z23" i="135" s="1"/>
  <c r="AC23" i="135" s="1"/>
  <c r="R25" i="135"/>
  <c r="V25" i="135" s="1"/>
  <c r="Z25" i="135" s="1"/>
  <c r="AC25" i="135" s="1"/>
  <c r="R26" i="135"/>
  <c r="V26" i="135" s="1"/>
  <c r="Z26" i="135" s="1"/>
  <c r="AC26" i="135" s="1"/>
  <c r="R27" i="135"/>
  <c r="V27" i="135" s="1"/>
  <c r="Z27" i="135" s="1"/>
  <c r="AC27" i="135" s="1"/>
  <c r="R33" i="143"/>
  <c r="V33" i="143" s="1"/>
  <c r="R32" i="143"/>
  <c r="V32" i="143" s="1"/>
  <c r="R31" i="143"/>
  <c r="V31" i="143" s="1"/>
  <c r="R30" i="143"/>
  <c r="V30" i="143" s="1"/>
  <c r="R29" i="143"/>
  <c r="V29" i="143" s="1"/>
  <c r="R28" i="143"/>
  <c r="V28" i="143" s="1"/>
  <c r="R27" i="143"/>
  <c r="V27" i="143" s="1"/>
  <c r="R26" i="143"/>
  <c r="V26" i="143" s="1"/>
  <c r="R25" i="143"/>
  <c r="V25" i="143" s="1"/>
  <c r="R24" i="143"/>
  <c r="V24" i="143" s="1"/>
  <c r="R23" i="143"/>
  <c r="V23" i="143" s="1"/>
  <c r="R22" i="143"/>
  <c r="V22" i="143" s="1"/>
  <c r="R20" i="143"/>
  <c r="V20" i="143" s="1"/>
  <c r="R17" i="143"/>
  <c r="V17" i="143" s="1"/>
  <c r="R16" i="143"/>
  <c r="V16" i="143" s="1"/>
  <c r="R15" i="143"/>
  <c r="V15" i="143" s="1"/>
  <c r="R13" i="143"/>
  <c r="V13" i="143" s="1"/>
  <c r="R12" i="143"/>
  <c r="V12" i="143" s="1"/>
  <c r="Z12" i="143" s="1"/>
  <c r="AC12" i="143" s="1"/>
  <c r="R9" i="143"/>
  <c r="V9" i="143" s="1"/>
  <c r="R8" i="143"/>
  <c r="V8" i="143" s="1"/>
  <c r="G5" i="100"/>
  <c r="G16" i="100"/>
  <c r="G14" i="100"/>
  <c r="J14" i="100" s="1"/>
  <c r="G13" i="100"/>
  <c r="J13" i="100" s="1"/>
  <c r="G10" i="100"/>
  <c r="J10" i="100" s="1"/>
  <c r="G15" i="100"/>
  <c r="J15" i="100" s="1"/>
  <c r="G11" i="100"/>
  <c r="J11" i="100" s="1"/>
  <c r="G12" i="100"/>
  <c r="J12" i="100" s="1"/>
  <c r="I16" i="100"/>
  <c r="I6" i="110"/>
  <c r="I7" i="110" s="1"/>
  <c r="Q30" i="112"/>
  <c r="P3" i="110" s="1"/>
  <c r="R7" i="143"/>
  <c r="Q34" i="113"/>
  <c r="P4" i="110" s="1"/>
  <c r="F4" i="110"/>
  <c r="F6" i="110"/>
  <c r="W41" i="146"/>
  <c r="R41" i="146"/>
  <c r="V41" i="146" s="1"/>
  <c r="Z41" i="146"/>
  <c r="W42" i="146"/>
  <c r="R42" i="146"/>
  <c r="V42" i="146" s="1"/>
  <c r="Z42" i="146"/>
  <c r="W43" i="146"/>
  <c r="R43" i="146"/>
  <c r="V43" i="146" s="1"/>
  <c r="Z43" i="146"/>
  <c r="W44" i="146"/>
  <c r="R44" i="146"/>
  <c r="V44" i="146" s="1"/>
  <c r="Z44" i="146"/>
  <c r="W45" i="146"/>
  <c r="R45" i="146"/>
  <c r="V45" i="146" s="1"/>
  <c r="Z45" i="146"/>
  <c r="W46" i="146"/>
  <c r="R46" i="146"/>
  <c r="V46" i="146" s="1"/>
  <c r="Z46" i="146"/>
  <c r="W47" i="146"/>
  <c r="R47" i="146"/>
  <c r="V47" i="146" s="1"/>
  <c r="Z47" i="146"/>
  <c r="W48" i="146"/>
  <c r="R48" i="146"/>
  <c r="V48" i="146" s="1"/>
  <c r="Z48" i="146"/>
  <c r="W49" i="146"/>
  <c r="R49" i="146"/>
  <c r="V49" i="146" s="1"/>
  <c r="Z49" i="146"/>
  <c r="W50" i="146"/>
  <c r="R50" i="146"/>
  <c r="V50" i="146" s="1"/>
  <c r="Z50" i="146"/>
  <c r="W33" i="146"/>
  <c r="R33" i="146"/>
  <c r="V33" i="146" s="1"/>
  <c r="Z33" i="146"/>
  <c r="W34" i="146"/>
  <c r="R34" i="146"/>
  <c r="V34" i="146" s="1"/>
  <c r="Z34" i="146"/>
  <c r="W35" i="146"/>
  <c r="R35" i="146"/>
  <c r="V35" i="146" s="1"/>
  <c r="Z35" i="146"/>
  <c r="W36" i="146"/>
  <c r="R36" i="146"/>
  <c r="V36" i="146" s="1"/>
  <c r="Z36" i="146"/>
  <c r="W37" i="146"/>
  <c r="R37" i="146"/>
  <c r="V37" i="146" s="1"/>
  <c r="Z37" i="146"/>
  <c r="W38" i="146"/>
  <c r="R38" i="146"/>
  <c r="V38" i="146" s="1"/>
  <c r="Z38" i="146"/>
  <c r="W39" i="146"/>
  <c r="R39" i="146"/>
  <c r="V39" i="146" s="1"/>
  <c r="Z39" i="146"/>
  <c r="W40" i="146"/>
  <c r="R40" i="146"/>
  <c r="V40" i="146" s="1"/>
  <c r="Z40" i="146"/>
  <c r="W29" i="146"/>
  <c r="R29" i="146"/>
  <c r="V29" i="146" s="1"/>
  <c r="Z29" i="146"/>
  <c r="W30" i="146"/>
  <c r="R30" i="146"/>
  <c r="V30" i="146" s="1"/>
  <c r="Z30" i="146"/>
  <c r="W31" i="146"/>
  <c r="R31" i="146"/>
  <c r="V31" i="146" s="1"/>
  <c r="Z31" i="146"/>
  <c r="W32" i="146"/>
  <c r="R32" i="146"/>
  <c r="V32" i="146" s="1"/>
  <c r="Z32" i="146"/>
  <c r="W27" i="146"/>
  <c r="R27" i="146"/>
  <c r="V27" i="146" s="1"/>
  <c r="Z27" i="146"/>
  <c r="W28" i="146"/>
  <c r="R28" i="146"/>
  <c r="V28" i="146" s="1"/>
  <c r="Z28" i="146"/>
  <c r="W25" i="146"/>
  <c r="R25" i="146"/>
  <c r="V25" i="146" s="1"/>
  <c r="Z25" i="146"/>
  <c r="W22" i="146"/>
  <c r="R22" i="146"/>
  <c r="V22" i="146" s="1"/>
  <c r="Z22" i="146"/>
  <c r="AC22" i="146" s="1"/>
  <c r="W23" i="146"/>
  <c r="R23" i="146"/>
  <c r="V23" i="146" s="1"/>
  <c r="Z23" i="146"/>
  <c r="AC23" i="146" s="1"/>
  <c r="W24" i="146"/>
  <c r="R24" i="146"/>
  <c r="V24" i="146" s="1"/>
  <c r="Z24" i="146"/>
  <c r="W26" i="146"/>
  <c r="R26" i="146"/>
  <c r="V26" i="146" s="1"/>
  <c r="Z26" i="146"/>
  <c r="W20" i="146"/>
  <c r="R20" i="146"/>
  <c r="V20" i="146" s="1"/>
  <c r="Z20" i="146"/>
  <c r="W21" i="146"/>
  <c r="R21" i="146"/>
  <c r="V21" i="146" s="1"/>
  <c r="Z21" i="146"/>
  <c r="W19" i="146"/>
  <c r="W51" i="146" s="1"/>
  <c r="R19" i="146"/>
  <c r="V19" i="146" s="1"/>
  <c r="Z19" i="146"/>
  <c r="R7" i="135"/>
  <c r="V7" i="135" s="1"/>
  <c r="Z7" i="135" s="1"/>
  <c r="AC7" i="135" s="1"/>
  <c r="I6" i="100"/>
  <c r="R7" i="132"/>
  <c r="V7" i="132" s="1"/>
  <c r="Z7" i="132" s="1"/>
  <c r="AC7" i="132" s="1"/>
  <c r="R14" i="139"/>
  <c r="V14" i="139" s="1"/>
  <c r="Z14" i="139" s="1"/>
  <c r="W14" i="139"/>
  <c r="R12" i="139"/>
  <c r="V12" i="139" s="1"/>
  <c r="Z12" i="139" s="1"/>
  <c r="W12" i="139"/>
  <c r="I14" i="100" s="1"/>
  <c r="E8" i="100"/>
  <c r="D8" i="100"/>
  <c r="V19" i="100"/>
  <c r="V11" i="100"/>
  <c r="AC32" i="131"/>
  <c r="E6" i="100"/>
  <c r="D6" i="100"/>
  <c r="Z31" i="137"/>
  <c r="H16" i="100"/>
  <c r="AC39" i="142"/>
  <c r="V8" i="131"/>
  <c r="Z8" i="131" s="1"/>
  <c r="V7" i="106"/>
  <c r="Z7" i="106" s="1"/>
  <c r="W7" i="145"/>
  <c r="V7" i="145"/>
  <c r="U19" i="145"/>
  <c r="Z7" i="145"/>
  <c r="W8" i="145"/>
  <c r="V8" i="145"/>
  <c r="Z8" i="145"/>
  <c r="W9" i="145"/>
  <c r="V9" i="145"/>
  <c r="Z9" i="145"/>
  <c r="W10" i="145"/>
  <c r="R10" i="145"/>
  <c r="V10" i="145" s="1"/>
  <c r="Z10" i="145"/>
  <c r="W11" i="145"/>
  <c r="R11" i="145"/>
  <c r="V11" i="145" s="1"/>
  <c r="Z11" i="145"/>
  <c r="W12" i="145"/>
  <c r="R12" i="145"/>
  <c r="V12" i="145" s="1"/>
  <c r="Z12" i="145"/>
  <c r="W13" i="145"/>
  <c r="R13" i="145"/>
  <c r="V13" i="145" s="1"/>
  <c r="Z13" i="145"/>
  <c r="W14" i="145"/>
  <c r="R14" i="145"/>
  <c r="V14" i="145" s="1"/>
  <c r="Z14" i="145"/>
  <c r="W15" i="145"/>
  <c r="V15" i="145"/>
  <c r="Z15" i="145"/>
  <c r="W16" i="145"/>
  <c r="R16" i="145"/>
  <c r="V16" i="145" s="1"/>
  <c r="Z16" i="145"/>
  <c r="W17" i="145"/>
  <c r="R17" i="145"/>
  <c r="V17" i="145" s="1"/>
  <c r="Z17" i="145"/>
  <c r="W18" i="145"/>
  <c r="R18" i="145"/>
  <c r="V18" i="145" s="1"/>
  <c r="Z18" i="145"/>
  <c r="H18" i="100"/>
  <c r="I18" i="100"/>
  <c r="I19" i="100"/>
  <c r="AC29" i="127"/>
  <c r="Q19" i="100"/>
  <c r="C47" i="100" s="1"/>
  <c r="V7" i="128"/>
  <c r="Z7" i="128" s="1"/>
  <c r="AC7" i="128" s="1"/>
  <c r="H19" i="100"/>
  <c r="I13" i="100"/>
  <c r="Z10" i="141"/>
  <c r="AC28" i="141" s="1"/>
  <c r="U21" i="138"/>
  <c r="C43" i="100" s="1"/>
  <c r="AC16" i="136"/>
  <c r="H4" i="100"/>
  <c r="S23" i="100"/>
  <c r="Z7" i="143"/>
  <c r="AC7" i="143" s="1"/>
  <c r="Z8" i="143"/>
  <c r="Z9" i="143"/>
  <c r="Z10" i="143"/>
  <c r="AC10" i="143" s="1"/>
  <c r="Z13" i="143"/>
  <c r="Z14" i="143"/>
  <c r="AC14" i="143" s="1"/>
  <c r="Z15" i="143"/>
  <c r="Z16" i="143"/>
  <c r="Z17" i="143"/>
  <c r="Z18" i="143"/>
  <c r="AC18" i="143" s="1"/>
  <c r="Z19" i="143"/>
  <c r="AC19" i="143" s="1"/>
  <c r="Z20" i="143"/>
  <c r="AC20" i="143" s="1"/>
  <c r="Z22" i="143"/>
  <c r="Z23" i="143"/>
  <c r="Z24" i="143"/>
  <c r="Z25" i="143"/>
  <c r="Z26" i="143"/>
  <c r="Z27" i="143"/>
  <c r="Z28" i="143"/>
  <c r="Z29" i="143"/>
  <c r="AC29" i="143" s="1"/>
  <c r="Z30" i="143"/>
  <c r="AC30" i="143" s="1"/>
  <c r="Z31" i="143"/>
  <c r="Z32" i="143"/>
  <c r="Z33" i="143"/>
  <c r="G4" i="100"/>
  <c r="Z25" i="132"/>
  <c r="AC25" i="132" s="1"/>
  <c r="Z23" i="132"/>
  <c r="AC23" i="132" s="1"/>
  <c r="Z22" i="132"/>
  <c r="AC22" i="132" s="1"/>
  <c r="Z21" i="132"/>
  <c r="AC21" i="132" s="1"/>
  <c r="Z20" i="132"/>
  <c r="AC20" i="132" s="1"/>
  <c r="Z19" i="132"/>
  <c r="AC19" i="132" s="1"/>
  <c r="Z18" i="132"/>
  <c r="AC18" i="132" s="1"/>
  <c r="Z16" i="132"/>
  <c r="AC16" i="132" s="1"/>
  <c r="Z15" i="132"/>
  <c r="AC15" i="132" s="1"/>
  <c r="Z14" i="132"/>
  <c r="AC14" i="132" s="1"/>
  <c r="Z8" i="132"/>
  <c r="AC8" i="132" s="1"/>
  <c r="D23" i="100" l="1"/>
  <c r="R23" i="100"/>
  <c r="P6" i="110"/>
  <c r="P18" i="110" s="1"/>
  <c r="P19" i="110" s="1"/>
  <c r="E7" i="110"/>
  <c r="F3" i="110"/>
  <c r="J4" i="100"/>
  <c r="J5" i="100"/>
  <c r="G9" i="100"/>
  <c r="J9" i="100"/>
  <c r="G20" i="100"/>
  <c r="J20" i="100" s="1"/>
  <c r="G21" i="100"/>
  <c r="J21" i="100" s="1"/>
  <c r="C35" i="100"/>
  <c r="Q20" i="100"/>
  <c r="Q21" i="100"/>
  <c r="C49" i="100" s="1"/>
  <c r="C33" i="100"/>
  <c r="J16" i="100"/>
  <c r="V23" i="100"/>
  <c r="K7" i="110"/>
  <c r="F7" i="100"/>
  <c r="G7" i="100" s="1"/>
  <c r="H23" i="100"/>
  <c r="F5" i="110"/>
  <c r="O7" i="110"/>
  <c r="G6" i="110"/>
  <c r="G4" i="110"/>
  <c r="H4" i="110" s="1"/>
  <c r="F8" i="100"/>
  <c r="U23" i="100"/>
  <c r="F6" i="100"/>
  <c r="E23" i="100"/>
  <c r="W32" i="131"/>
  <c r="I11" i="100"/>
  <c r="I23" i="100" s="1"/>
  <c r="W19" i="145"/>
  <c r="G17" i="100"/>
  <c r="J17" i="100" s="1"/>
  <c r="G18" i="100"/>
  <c r="J18" i="100" s="1"/>
  <c r="P7" i="110" l="1"/>
  <c r="F7" i="110"/>
  <c r="G3" i="110"/>
  <c r="H3" i="110" s="1"/>
  <c r="J7" i="100"/>
  <c r="D84" i="100" s="1"/>
  <c r="C48" i="100"/>
  <c r="Q23" i="100"/>
  <c r="G6" i="100"/>
  <c r="J6" i="100" s="1"/>
  <c r="C42" i="100"/>
  <c r="AE10" i="100"/>
  <c r="AD13" i="100"/>
  <c r="AD10" i="100"/>
  <c r="AD11" i="100" s="1"/>
  <c r="G8" i="100"/>
  <c r="J8" i="100" s="1"/>
  <c r="G5" i="110"/>
  <c r="H5" i="110" s="1"/>
  <c r="J4" i="110"/>
  <c r="H6" i="110"/>
  <c r="J6" i="110" s="1"/>
  <c r="F23" i="100"/>
  <c r="G19" i="100"/>
  <c r="J19" i="100" s="1"/>
  <c r="AD12" i="100" l="1"/>
  <c r="AD14" i="100" s="1"/>
  <c r="J5" i="110"/>
  <c r="J7" i="110" s="1"/>
  <c r="G7" i="110"/>
  <c r="J3" i="110"/>
  <c r="H7" i="110"/>
  <c r="J23" i="100"/>
  <c r="G23" i="10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MIGUEL DIAZ</author>
  </authors>
  <commentList>
    <comment ref="Y6" authorId="0" shapeId="0" xr:uid="{00000000-0006-0000-1400-000001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MIGUEL DIAZ</author>
  </authors>
  <commentList>
    <comment ref="Y6" authorId="0" shapeId="0" xr:uid="{00000000-0006-0000-1700-000001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MIGUEL DIAZ</author>
  </authors>
  <commentList>
    <comment ref="Y6" authorId="0" shapeId="0" xr:uid="{00000000-0006-0000-1500-000001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tc={51F964FB-DEE5-4B5F-A4E2-0E124FEAEBAE}</author>
  </authors>
  <commentList>
    <comment ref="N7" authorId="0" shapeId="0" xr:uid="{51F964FB-DEE5-4B5F-A4E2-0E124FEAEBA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Fechas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JORGE MIGUEL DIAZ</author>
    <author>MJ03JZH3</author>
    <author>asus</author>
    <author>laquijano</author>
    <author>UNICAUCA</author>
    <author>tc={4DBA0F16-BB2A-4CA2-B845-5587A47A2135}</author>
  </authors>
  <commentList>
    <comment ref="D3" authorId="0" shapeId="0" xr:uid="{00000000-0006-0000-0D00-000001000000}">
      <text>
        <r>
          <rPr>
            <sz val="9"/>
            <color indexed="81"/>
            <rFont val="Tahoma"/>
            <family val="2"/>
          </rPr>
          <t>Realice la descripción de la oportunidad de mejora resultado de la autoevaluación o derivadas de otras fuentes</t>
        </r>
      </text>
    </comment>
    <comment ref="E3" authorId="1" shapeId="0" xr:uid="{00000000-0006-0000-0D00-000002000000}">
      <text>
        <r>
          <rPr>
            <sz val="9"/>
            <color indexed="81"/>
            <rFont val="Tahoma"/>
            <family val="2"/>
          </rPr>
          <t>Describa las causas que generan la oportunidad de mejora o la no conformidad. 
En caso de trabajar con una oportunidad de mejora, no es necesario realizar análisis de causas.</t>
        </r>
      </text>
    </comment>
    <comment ref="F3" authorId="1" shapeId="0" xr:uid="{00000000-0006-0000-0D00-000003000000}">
      <text>
        <r>
          <rPr>
            <sz val="9"/>
            <color indexed="81"/>
            <rFont val="Tahoma"/>
            <family val="2"/>
          </rPr>
          <t xml:space="preserve">Nombre del proyecto o acción a emprender que se realizará para superar la debilidad u oportunidad de mejora o la no conformidad </t>
        </r>
      </text>
    </comment>
    <comment ref="G3" authorId="2" shapeId="0" xr:uid="{00000000-0006-0000-0D00-000004000000}">
      <text>
        <r>
          <rPr>
            <sz val="9"/>
            <color indexed="81"/>
            <rFont val="Tahoma"/>
            <family val="2"/>
          </rPr>
          <t>Describa la(s) actividad(es) específicas a emprender o desarrollar para trabajar el proyecto  o acción.
Pueden ser más de una.</t>
        </r>
      </text>
    </comment>
    <comment ref="H3" authorId="1" shapeId="0" xr:uid="{00000000-0006-0000-0D00-000005000000}">
      <text>
        <r>
          <rPr>
            <b/>
            <sz val="9"/>
            <color indexed="81"/>
            <rFont val="Tahoma"/>
            <family val="2"/>
          </rPr>
          <t>Únicamente para Acreditación:</t>
        </r>
        <r>
          <rPr>
            <sz val="9"/>
            <color indexed="81"/>
            <rFont val="Tahoma"/>
            <family val="2"/>
          </rPr>
          <t xml:space="preserve">
Realizar una priorización, asignándole un peso a cada proyecto de una escala de 0 a 100, teniendo en cuenta que la sumatoria de todas las actividades realizadas deben dar como resultado un 100%
Ejemplo:
Sensibilización del PEI: 20%
Cambio o modificación del programa: 70%
Propuesta cambios normativos: 10%</t>
        </r>
      </text>
    </comment>
    <comment ref="I3" authorId="0" shapeId="0" xr:uid="{00000000-0006-0000-0D00-000006000000}">
      <text>
        <r>
          <rPr>
            <sz val="9"/>
            <color indexed="81"/>
            <rFont val="Tahoma"/>
            <family val="2"/>
          </rPr>
          <t>Cuantifique la actividad, establecida en unidades o porcentajes de acuerdo a su denominación</t>
        </r>
        <r>
          <rPr>
            <b/>
            <sz val="9"/>
            <color indexed="81"/>
            <rFont val="Tahoma"/>
            <family val="2"/>
          </rPr>
          <t>.
Ejemplo :</t>
        </r>
        <r>
          <rPr>
            <sz val="9"/>
            <color indexed="81"/>
            <rFont val="Tahoma"/>
            <family val="2"/>
          </rPr>
          <t xml:space="preserve"> Una charla, una reunión, un taller, una capacitación, verificación en puesto de trabajo
</t>
        </r>
      </text>
    </comment>
    <comment ref="J3" authorId="3" shapeId="0" xr:uid="{00000000-0006-0000-0D00-000007000000}">
      <text>
        <r>
          <rPr>
            <sz val="8"/>
            <color indexed="81"/>
            <rFont val="Tahoma"/>
            <family val="2"/>
          </rPr>
          <t>Fecha programada para la iniciación de cada actividad</t>
        </r>
        <r>
          <rPr>
            <b/>
            <sz val="8"/>
            <color indexed="81"/>
            <rFont val="Tahoma"/>
            <family val="2"/>
          </rPr>
          <t xml:space="preserve">. </t>
        </r>
        <r>
          <rPr>
            <sz val="8"/>
            <color indexed="81"/>
            <rFont val="Tahoma"/>
            <family val="2"/>
          </rPr>
          <t xml:space="preserve">
</t>
        </r>
      </text>
    </comment>
    <comment ref="K3" authorId="3" shapeId="0" xr:uid="{00000000-0006-0000-0D00-000008000000}">
      <text>
        <r>
          <rPr>
            <sz val="8"/>
            <color indexed="81"/>
            <rFont val="Tahoma"/>
            <family val="2"/>
          </rPr>
          <t>Fecha programada para la terminación de cada actividad, teniendo en cuenta que no sea  mayor a 52 semanas despues de la suscripción.</t>
        </r>
      </text>
    </comment>
    <comment ref="L3" authorId="3" shapeId="0" xr:uid="{00000000-0006-0000-0D00-000009000000}">
      <text>
        <r>
          <rPr>
            <sz val="8"/>
            <color indexed="81"/>
            <rFont val="Tahoma"/>
            <family val="2"/>
          </rPr>
          <t xml:space="preserve">La hoja calcula automáticamente el plazo de duración de la actividad  de mejoramiento teniendo en cuenta las fechas de inicio y terminación de la actividad.
</t>
        </r>
      </text>
    </comment>
    <comment ref="M3" authorId="4" shapeId="0" xr:uid="{00000000-0006-0000-0D00-00000A000000}">
      <text>
        <r>
          <rPr>
            <b/>
            <sz val="9"/>
            <color indexed="81"/>
            <rFont val="Tahoma"/>
            <family val="2"/>
          </rPr>
          <t>UNICAUCA: 
-Para dilegenciar la primera vez se llena con la fecha de terminación, situación que varía con los seguiminetos.</t>
        </r>
        <r>
          <rPr>
            <sz val="9"/>
            <color indexed="81"/>
            <rFont val="Tahoma"/>
            <family val="2"/>
          </rPr>
          <t xml:space="preserve">
-Se diligencia la fecha de último seguimiento.- Cuando el avance físico llega a 100% no se módifica las fechas. </t>
        </r>
      </text>
    </comment>
    <comment ref="P3" authorId="3" shapeId="0" xr:uid="{00000000-0006-0000-0D00-00000B000000}">
      <text>
        <r>
          <rPr>
            <sz val="8"/>
            <color indexed="81"/>
            <rFont val="Tahoma"/>
            <family val="2"/>
          </rPr>
          <t>Registre el avance de la ejecución de la actividad, en términos de la Unidad de Medida.</t>
        </r>
      </text>
    </comment>
    <comment ref="Q3" authorId="3" shapeId="0" xr:uid="{00000000-0006-0000-0D00-00000C000000}">
      <text>
        <r>
          <rPr>
            <sz val="8"/>
            <color indexed="81"/>
            <rFont val="Tahoma"/>
            <family val="2"/>
          </rPr>
          <t>Calcula el avance porcentual de la actividad dividiendo la ejecución informada en la columna N sobre la columna J</t>
        </r>
        <r>
          <rPr>
            <sz val="8"/>
            <color indexed="81"/>
            <rFont val="Tahoma"/>
            <family val="2"/>
          </rPr>
          <t xml:space="preserve">
</t>
        </r>
      </text>
    </comment>
    <comment ref="T3" authorId="0" shapeId="0" xr:uid="{00000000-0006-0000-0D00-00000D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 ref="V3" authorId="0" shapeId="0" xr:uid="{00000000-0006-0000-0D00-00000E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 ref="Q11" authorId="5" shapeId="0" xr:uid="{4DBA0F16-BB2A-4CA2-B845-5587A47A213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Reformulada.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JORGE MIGUEL DIAZ</author>
    <author>MJ03JZH3</author>
    <author>asus</author>
    <author>laquijano</author>
    <author>UNICAUCA</author>
  </authors>
  <commentList>
    <comment ref="D3" authorId="0" shapeId="0" xr:uid="{00000000-0006-0000-0E00-000001000000}">
      <text>
        <r>
          <rPr>
            <sz val="9"/>
            <color indexed="81"/>
            <rFont val="Tahoma"/>
            <family val="2"/>
          </rPr>
          <t>Realice la descripción de la oportunidad de mejora resultado de la autoevaluación o derivadas de otras fuentes</t>
        </r>
      </text>
    </comment>
    <comment ref="E3" authorId="1" shapeId="0" xr:uid="{00000000-0006-0000-0E00-000002000000}">
      <text>
        <r>
          <rPr>
            <sz val="9"/>
            <color indexed="81"/>
            <rFont val="Tahoma"/>
            <family val="2"/>
          </rPr>
          <t>Describa las causas que generan la oportunidad de mejora o la no conformidad. 
En caso de trabajar con una oportunidad de mejora, no es necesario realizar análisis de causas.</t>
        </r>
      </text>
    </comment>
    <comment ref="F3" authorId="1" shapeId="0" xr:uid="{00000000-0006-0000-0E00-000003000000}">
      <text>
        <r>
          <rPr>
            <sz val="9"/>
            <color indexed="81"/>
            <rFont val="Tahoma"/>
            <family val="2"/>
          </rPr>
          <t xml:space="preserve">Nombre del proyecto o acción a emprender que se realizará para superar la debilidad u oportunidad de mejora o la no conformidad </t>
        </r>
      </text>
    </comment>
    <comment ref="G3" authorId="2" shapeId="0" xr:uid="{00000000-0006-0000-0E00-000004000000}">
      <text>
        <r>
          <rPr>
            <sz val="9"/>
            <color indexed="81"/>
            <rFont val="Tahoma"/>
            <family val="2"/>
          </rPr>
          <t>Describa la(s) actividad(es) específicas a emprender o desarrollar para trabajar el proyecto  o acción.
Pueden ser más de una.</t>
        </r>
      </text>
    </comment>
    <comment ref="H3" authorId="1" shapeId="0" xr:uid="{00000000-0006-0000-0E00-000005000000}">
      <text>
        <r>
          <rPr>
            <b/>
            <sz val="9"/>
            <color indexed="81"/>
            <rFont val="Tahoma"/>
            <family val="2"/>
          </rPr>
          <t>Únicamente para Acreditación:</t>
        </r>
        <r>
          <rPr>
            <sz val="9"/>
            <color indexed="81"/>
            <rFont val="Tahoma"/>
            <family val="2"/>
          </rPr>
          <t xml:space="preserve">
Realizar una priorización, asignándole un peso a cada proyecto de una escala de 0 a 100, teniendo en cuenta que la sumatoria de todas las actividades realizadas deben dar como resultado un 100%
Ejemplo:
Sensibilización del PEI: 20%
Cambio o modificación del programa: 70%
Propuesta cambios normativos: 10%</t>
        </r>
      </text>
    </comment>
    <comment ref="I3" authorId="0" shapeId="0" xr:uid="{00000000-0006-0000-0E00-000006000000}">
      <text>
        <r>
          <rPr>
            <sz val="9"/>
            <color indexed="81"/>
            <rFont val="Tahoma"/>
            <family val="2"/>
          </rPr>
          <t>Cuantifique la actividad, establecida en unidades o porcentajes de acuerdo a su denominación</t>
        </r>
        <r>
          <rPr>
            <b/>
            <sz val="9"/>
            <color indexed="81"/>
            <rFont val="Tahoma"/>
            <family val="2"/>
          </rPr>
          <t>.
Ejemplo :</t>
        </r>
        <r>
          <rPr>
            <sz val="9"/>
            <color indexed="81"/>
            <rFont val="Tahoma"/>
            <family val="2"/>
          </rPr>
          <t xml:space="preserve"> Una charla, una reunión, un taller, una capacitación, verificación en puesto de trabajo
</t>
        </r>
      </text>
    </comment>
    <comment ref="J3" authorId="3" shapeId="0" xr:uid="{00000000-0006-0000-0E00-000007000000}">
      <text>
        <r>
          <rPr>
            <sz val="8"/>
            <color indexed="81"/>
            <rFont val="Tahoma"/>
            <family val="2"/>
          </rPr>
          <t>Fecha programada para la iniciación de cada actividad</t>
        </r>
        <r>
          <rPr>
            <b/>
            <sz val="8"/>
            <color indexed="81"/>
            <rFont val="Tahoma"/>
            <family val="2"/>
          </rPr>
          <t xml:space="preserve">. </t>
        </r>
        <r>
          <rPr>
            <sz val="8"/>
            <color indexed="81"/>
            <rFont val="Tahoma"/>
            <family val="2"/>
          </rPr>
          <t xml:space="preserve">
</t>
        </r>
      </text>
    </comment>
    <comment ref="K3" authorId="3" shapeId="0" xr:uid="{00000000-0006-0000-0E00-000008000000}">
      <text>
        <r>
          <rPr>
            <sz val="8"/>
            <color indexed="81"/>
            <rFont val="Tahoma"/>
            <family val="2"/>
          </rPr>
          <t>Fecha programada para la terminación de cada actividad, teniendo en cuenta que no sea  mayor a 52 semanas despues de la suscripción.</t>
        </r>
      </text>
    </comment>
    <comment ref="L3" authorId="3" shapeId="0" xr:uid="{00000000-0006-0000-0E00-000009000000}">
      <text>
        <r>
          <rPr>
            <sz val="8"/>
            <color indexed="81"/>
            <rFont val="Tahoma"/>
            <family val="2"/>
          </rPr>
          <t xml:space="preserve">La hoja calcula automáticamente el plazo de duración de la actividad  de mejoramiento teniendo en cuenta las fechas de inicio y terminación de la actividad.
</t>
        </r>
      </text>
    </comment>
    <comment ref="M3" authorId="4" shapeId="0" xr:uid="{00000000-0006-0000-0E00-00000A000000}">
      <text>
        <r>
          <rPr>
            <b/>
            <sz val="9"/>
            <color indexed="81"/>
            <rFont val="Tahoma"/>
            <family val="2"/>
          </rPr>
          <t>UNICAUCA: 
-Para dilegenciar la primera vez se llena con la fecha de terminación, situación que varía con los seguiminetos.</t>
        </r>
        <r>
          <rPr>
            <sz val="9"/>
            <color indexed="81"/>
            <rFont val="Tahoma"/>
            <family val="2"/>
          </rPr>
          <t xml:space="preserve">
-Se diligencia la fecha de último seguimiento.- Cuando el avance físico llega a 100% no se módifica las fechas. </t>
        </r>
      </text>
    </comment>
    <comment ref="P3" authorId="3" shapeId="0" xr:uid="{00000000-0006-0000-0E00-00000B000000}">
      <text>
        <r>
          <rPr>
            <sz val="8"/>
            <color indexed="81"/>
            <rFont val="Tahoma"/>
            <family val="2"/>
          </rPr>
          <t>Registre el avance de la ejecución de la actividad, en términos de la Unidad de Medida.</t>
        </r>
      </text>
    </comment>
    <comment ref="Q3" authorId="3" shapeId="0" xr:uid="{00000000-0006-0000-0E00-00000C000000}">
      <text>
        <r>
          <rPr>
            <sz val="8"/>
            <color indexed="81"/>
            <rFont val="Tahoma"/>
            <family val="2"/>
          </rPr>
          <t>Calcula el avance porcentual de la actividad dividiendo la ejecución informada en la columna N sobre la columna J</t>
        </r>
        <r>
          <rPr>
            <sz val="8"/>
            <color indexed="81"/>
            <rFont val="Tahoma"/>
            <family val="2"/>
          </rPr>
          <t xml:space="preserve">
</t>
        </r>
      </text>
    </comment>
    <comment ref="T3" authorId="0" shapeId="0" xr:uid="{00000000-0006-0000-0E00-00000D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 ref="V3" authorId="0" shapeId="0" xr:uid="{00000000-0006-0000-0E00-00000E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JORGE MIGUEL DIAZ</author>
    <author>MJ03JZH3</author>
    <author>asus</author>
    <author>laquijano</author>
    <author>UNICAUCA</author>
  </authors>
  <commentList>
    <comment ref="D3" authorId="0" shapeId="0" xr:uid="{00000000-0006-0000-0F00-000001000000}">
      <text>
        <r>
          <rPr>
            <sz val="9"/>
            <color indexed="81"/>
            <rFont val="Tahoma"/>
            <family val="2"/>
          </rPr>
          <t>Realice la descripción de la oportunidad de mejora resultado de la autoevaluación o derivadas de otras fuentes</t>
        </r>
      </text>
    </comment>
    <comment ref="E3" authorId="1" shapeId="0" xr:uid="{00000000-0006-0000-0F00-000002000000}">
      <text>
        <r>
          <rPr>
            <sz val="9"/>
            <color indexed="81"/>
            <rFont val="Tahoma"/>
            <family val="2"/>
          </rPr>
          <t>Describa las causas que generan la oportunidad de mejora o la no conformidad. 
En caso de trabajar con una oportunidad de mejora, no es necesario realizar análisis de causas.</t>
        </r>
      </text>
    </comment>
    <comment ref="F3" authorId="1" shapeId="0" xr:uid="{00000000-0006-0000-0F00-000003000000}">
      <text>
        <r>
          <rPr>
            <sz val="9"/>
            <color indexed="81"/>
            <rFont val="Tahoma"/>
            <family val="2"/>
          </rPr>
          <t xml:space="preserve">Nombre del proyecto o acción a emprender que se realizará para superar la debilidad u oportunidad de mejora o la no conformidad </t>
        </r>
      </text>
    </comment>
    <comment ref="G3" authorId="2" shapeId="0" xr:uid="{00000000-0006-0000-0F00-000004000000}">
      <text>
        <r>
          <rPr>
            <sz val="9"/>
            <color indexed="81"/>
            <rFont val="Tahoma"/>
            <family val="2"/>
          </rPr>
          <t>Describa la(s) actividad(es) específicas a emprender o desarrollar para trabajar el proyecto  o acción.
Pueden ser más de una.</t>
        </r>
      </text>
    </comment>
    <comment ref="H3" authorId="1" shapeId="0" xr:uid="{00000000-0006-0000-0F00-000005000000}">
      <text>
        <r>
          <rPr>
            <b/>
            <sz val="9"/>
            <color indexed="81"/>
            <rFont val="Tahoma"/>
            <family val="2"/>
          </rPr>
          <t>Únicamente para Acreditación:</t>
        </r>
        <r>
          <rPr>
            <sz val="9"/>
            <color indexed="81"/>
            <rFont val="Tahoma"/>
            <family val="2"/>
          </rPr>
          <t xml:space="preserve">
Realizar una priorización, asignándole un peso a cada proyecto de una escala de 0 a 100, teniendo en cuenta que la sumatoria de todas las actividades realizadas deben dar como resultado un 100%
Ejemplo:
Sensibilización del PEI: 20%
Cambio o modificación del programa: 70%
Propuesta cambios normativos: 10%</t>
        </r>
      </text>
    </comment>
    <comment ref="I3" authorId="0" shapeId="0" xr:uid="{00000000-0006-0000-0F00-000006000000}">
      <text>
        <r>
          <rPr>
            <sz val="9"/>
            <color indexed="81"/>
            <rFont val="Tahoma"/>
            <family val="2"/>
          </rPr>
          <t>Cuantifique la actividad, establecida en unidades o porcentajes de acuerdo a su denominación</t>
        </r>
        <r>
          <rPr>
            <b/>
            <sz val="9"/>
            <color indexed="81"/>
            <rFont val="Tahoma"/>
            <family val="2"/>
          </rPr>
          <t>.
Ejemplo :</t>
        </r>
        <r>
          <rPr>
            <sz val="9"/>
            <color indexed="81"/>
            <rFont val="Tahoma"/>
            <family val="2"/>
          </rPr>
          <t xml:space="preserve"> Una charla, una reunión, un taller, una capacitación, verificación en puesto de trabajo
</t>
        </r>
      </text>
    </comment>
    <comment ref="J3" authorId="3" shapeId="0" xr:uid="{00000000-0006-0000-0F00-000007000000}">
      <text>
        <r>
          <rPr>
            <sz val="8"/>
            <color indexed="81"/>
            <rFont val="Tahoma"/>
            <family val="2"/>
          </rPr>
          <t>Fecha programada para la iniciación de cada actividad</t>
        </r>
        <r>
          <rPr>
            <b/>
            <sz val="8"/>
            <color indexed="81"/>
            <rFont val="Tahoma"/>
            <family val="2"/>
          </rPr>
          <t xml:space="preserve">. </t>
        </r>
        <r>
          <rPr>
            <sz val="8"/>
            <color indexed="81"/>
            <rFont val="Tahoma"/>
            <family val="2"/>
          </rPr>
          <t xml:space="preserve">
</t>
        </r>
      </text>
    </comment>
    <comment ref="K3" authorId="3" shapeId="0" xr:uid="{00000000-0006-0000-0F00-000008000000}">
      <text>
        <r>
          <rPr>
            <sz val="8"/>
            <color indexed="81"/>
            <rFont val="Tahoma"/>
            <family val="2"/>
          </rPr>
          <t>Fecha programada para la terminación de cada actividad, teniendo en cuenta que no sea  mayor a 52 semanas despues de la suscripción.</t>
        </r>
      </text>
    </comment>
    <comment ref="L3" authorId="3" shapeId="0" xr:uid="{00000000-0006-0000-0F00-000009000000}">
      <text>
        <r>
          <rPr>
            <sz val="8"/>
            <color indexed="81"/>
            <rFont val="Tahoma"/>
            <family val="2"/>
          </rPr>
          <t xml:space="preserve">La hoja calcula automáticamente el plazo de duración de la actividad  de mejoramiento teniendo en cuenta las fechas de inicio y terminación de la actividad.
</t>
        </r>
      </text>
    </comment>
    <comment ref="M3" authorId="4" shapeId="0" xr:uid="{00000000-0006-0000-0F00-00000A000000}">
      <text>
        <r>
          <rPr>
            <b/>
            <sz val="9"/>
            <color indexed="81"/>
            <rFont val="Tahoma"/>
            <family val="2"/>
          </rPr>
          <t>UNICAUCA: 
-Para dilegenciar la primera vez se llena con la fecha de terminación, situación que varía con los seguiminetos.</t>
        </r>
        <r>
          <rPr>
            <sz val="9"/>
            <color indexed="81"/>
            <rFont val="Tahoma"/>
            <family val="2"/>
          </rPr>
          <t xml:space="preserve">
-Se diligencia la fecha de último seguimiento.- Cuando el avance físico llega a 100% no se módifica las fechas. </t>
        </r>
      </text>
    </comment>
    <comment ref="P3" authorId="3" shapeId="0" xr:uid="{00000000-0006-0000-0F00-00000B000000}">
      <text>
        <r>
          <rPr>
            <sz val="8"/>
            <color indexed="81"/>
            <rFont val="Tahoma"/>
            <family val="2"/>
          </rPr>
          <t>Registre el avance de la ejecución de la actividad, en términos de la Unidad de Medida.</t>
        </r>
      </text>
    </comment>
    <comment ref="Q3" authorId="3" shapeId="0" xr:uid="{00000000-0006-0000-0F00-00000C000000}">
      <text>
        <r>
          <rPr>
            <sz val="8"/>
            <color indexed="81"/>
            <rFont val="Tahoma"/>
            <family val="2"/>
          </rPr>
          <t>Calcula el avance porcentual de la actividad dividiendo la ejecución informada en la columna N sobre la columna J</t>
        </r>
        <r>
          <rPr>
            <sz val="8"/>
            <color indexed="81"/>
            <rFont val="Tahoma"/>
            <family val="2"/>
          </rPr>
          <t xml:space="preserve">
</t>
        </r>
      </text>
    </comment>
    <comment ref="T3" authorId="0" shapeId="0" xr:uid="{00000000-0006-0000-0F00-00000D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 ref="V3" authorId="0" shapeId="0" xr:uid="{00000000-0006-0000-0F00-00000E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JORGE MIGUEL DIAZ</author>
    <author>MJ03JZH3</author>
    <author>asus</author>
    <author>laquijano</author>
    <author>UNICAUCA</author>
  </authors>
  <commentList>
    <comment ref="D3" authorId="0" shapeId="0" xr:uid="{AB07DF7B-F4E4-40C6-9CEC-8D68F3AB2E17}">
      <text>
        <r>
          <rPr>
            <sz val="9"/>
            <color indexed="81"/>
            <rFont val="Tahoma"/>
            <family val="2"/>
          </rPr>
          <t>Realice la descripción de la oportunidad de mejora resultado de la autoevaluación o derivadas de otras fuentes</t>
        </r>
      </text>
    </comment>
    <comment ref="E3" authorId="1" shapeId="0" xr:uid="{CB2A0E4A-1E55-48D9-A8BB-428A2D9A0479}">
      <text>
        <r>
          <rPr>
            <sz val="9"/>
            <color indexed="81"/>
            <rFont val="Tahoma"/>
            <family val="2"/>
          </rPr>
          <t>Describa las causas que generan la oportunidad de mejora o la no conformidad. 
En caso de trabajar con una oportunidad de mejora, no es necesario realizar análisis de causas.</t>
        </r>
      </text>
    </comment>
    <comment ref="F3" authorId="1" shapeId="0" xr:uid="{D4138047-14EB-4B0B-B674-C03393465DF9}">
      <text>
        <r>
          <rPr>
            <sz val="9"/>
            <color indexed="81"/>
            <rFont val="Tahoma"/>
            <family val="2"/>
          </rPr>
          <t xml:space="preserve">Nombre del proyecto o acción a emprender que se realizará para superar la debilidad u oportunidad de mejora o la no conformidad </t>
        </r>
      </text>
    </comment>
    <comment ref="G3" authorId="2" shapeId="0" xr:uid="{1F11B6C0-A456-41BE-9B31-6F1D0173E72E}">
      <text>
        <r>
          <rPr>
            <sz val="9"/>
            <color indexed="81"/>
            <rFont val="Tahoma"/>
            <family val="2"/>
          </rPr>
          <t>Describa la(s) actividad(es) específicas a emprender o desarrollar para trabajar el proyecto  o acción.
Pueden ser más de una.</t>
        </r>
      </text>
    </comment>
    <comment ref="H3" authorId="1" shapeId="0" xr:uid="{2DBA4FB5-812C-4EAC-9EA9-7501917C85F1}">
      <text>
        <r>
          <rPr>
            <b/>
            <sz val="9"/>
            <color indexed="81"/>
            <rFont val="Tahoma"/>
            <family val="2"/>
          </rPr>
          <t>Únicamente para Acreditación:</t>
        </r>
        <r>
          <rPr>
            <sz val="9"/>
            <color indexed="81"/>
            <rFont val="Tahoma"/>
            <family val="2"/>
          </rPr>
          <t xml:space="preserve">
Realizar una priorización, asignándole un peso a cada proyecto de una escala de 0 a 100, teniendo en cuenta que la sumatoria de todas las actividades realizadas deben dar como resultado un 100%
Ejemplo:
Sensibilización del PEI: 20%
Cambio o modificación del programa: 70%
Propuesta cambios normativos: 10%</t>
        </r>
      </text>
    </comment>
    <comment ref="I3" authorId="0" shapeId="0" xr:uid="{8BAC26A4-7DB7-4CF7-8FA0-8D741547E1ED}">
      <text>
        <r>
          <rPr>
            <sz val="9"/>
            <color indexed="81"/>
            <rFont val="Tahoma"/>
            <family val="2"/>
          </rPr>
          <t>Cuantifique la actividad, establecida en unidades o porcentajes de acuerdo a su denominación</t>
        </r>
        <r>
          <rPr>
            <b/>
            <sz val="9"/>
            <color indexed="81"/>
            <rFont val="Tahoma"/>
            <family val="2"/>
          </rPr>
          <t>.
Ejemplo :</t>
        </r>
        <r>
          <rPr>
            <sz val="9"/>
            <color indexed="81"/>
            <rFont val="Tahoma"/>
            <family val="2"/>
          </rPr>
          <t xml:space="preserve"> Una charla, una reunión, un taller, una capacitación, verificación en puesto de trabajo
</t>
        </r>
      </text>
    </comment>
    <comment ref="J3" authorId="3" shapeId="0" xr:uid="{DBCDCF8E-0F92-4355-9E99-473EB3E06A6B}">
      <text>
        <r>
          <rPr>
            <sz val="8"/>
            <color indexed="81"/>
            <rFont val="Tahoma"/>
            <family val="2"/>
          </rPr>
          <t>Fecha programada para la iniciación de cada actividad</t>
        </r>
        <r>
          <rPr>
            <b/>
            <sz val="8"/>
            <color indexed="81"/>
            <rFont val="Tahoma"/>
            <family val="2"/>
          </rPr>
          <t xml:space="preserve">. </t>
        </r>
        <r>
          <rPr>
            <sz val="8"/>
            <color indexed="81"/>
            <rFont val="Tahoma"/>
            <family val="2"/>
          </rPr>
          <t xml:space="preserve">
</t>
        </r>
      </text>
    </comment>
    <comment ref="K3" authorId="3" shapeId="0" xr:uid="{E96DF1C4-8794-45CA-BEB4-5D312A5EC4B2}">
      <text>
        <r>
          <rPr>
            <sz val="8"/>
            <color indexed="81"/>
            <rFont val="Tahoma"/>
            <family val="2"/>
          </rPr>
          <t>Fecha programada para la terminación de cada actividad, teniendo en cuenta que no sea  mayor a 52 semanas despues de la suscripción.</t>
        </r>
      </text>
    </comment>
    <comment ref="L3" authorId="3" shapeId="0" xr:uid="{0D2BAD72-FCAC-4642-8CE2-D4650CDBF13B}">
      <text>
        <r>
          <rPr>
            <sz val="8"/>
            <color indexed="81"/>
            <rFont val="Tahoma"/>
            <family val="2"/>
          </rPr>
          <t xml:space="preserve">La hoja calcula automáticamente el plazo de duración de la actividad  de mejoramiento teniendo en cuenta las fechas de inicio y terminación de la actividad.
</t>
        </r>
      </text>
    </comment>
    <comment ref="M3" authorId="4" shapeId="0" xr:uid="{4B3B6138-CF8A-4D0A-A0C9-0B9CB0E122DA}">
      <text>
        <r>
          <rPr>
            <b/>
            <sz val="9"/>
            <color indexed="81"/>
            <rFont val="Tahoma"/>
            <family val="2"/>
          </rPr>
          <t>UNICAUCA: 
-Para dilegenciar la primera vez se llena con la fecha de terminación, situación que varía con los seguiminetos.</t>
        </r>
        <r>
          <rPr>
            <sz val="9"/>
            <color indexed="81"/>
            <rFont val="Tahoma"/>
            <family val="2"/>
          </rPr>
          <t xml:space="preserve">
-Se diligencia la fecha de último seguimiento.- Cuando el avance físico llega a 100% no se módifica las fechas. </t>
        </r>
      </text>
    </comment>
    <comment ref="P3" authorId="3" shapeId="0" xr:uid="{23AA0A5B-6250-4CA6-9209-F913783E28BA}">
      <text>
        <r>
          <rPr>
            <sz val="8"/>
            <color indexed="81"/>
            <rFont val="Tahoma"/>
            <family val="2"/>
          </rPr>
          <t>Registre el avance de la ejecución de la actividad, en términos de la Unidad de Medida.</t>
        </r>
      </text>
    </comment>
    <comment ref="Q3" authorId="3" shapeId="0" xr:uid="{C5137EF0-4481-44C8-9F87-267B942C7F38}">
      <text>
        <r>
          <rPr>
            <sz val="8"/>
            <color indexed="81"/>
            <rFont val="Tahoma"/>
            <family val="2"/>
          </rPr>
          <t>Calcula el avance porcentual de la actividad dividiendo la ejecución informada en la columna N sobre la columna J</t>
        </r>
        <r>
          <rPr>
            <sz val="8"/>
            <color indexed="81"/>
            <rFont val="Tahoma"/>
            <family val="2"/>
          </rPr>
          <t xml:space="preserve">
</t>
        </r>
      </text>
    </comment>
    <comment ref="T3" authorId="0" shapeId="0" xr:uid="{E5BEA40B-8A1E-4A1D-8039-7EF0477715FD}">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 ref="V3" authorId="0" shapeId="0" xr:uid="{98308C9C-AA6A-4335-B1F1-E35D79D11CAD}">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MABEL ALEXANDRA URBANO URBANO</author>
  </authors>
  <commentList>
    <comment ref="Z17" authorId="0" shapeId="0" xr:uid="{50826DCA-41F9-4C64-B645-382DFCE76982}">
      <text>
        <r>
          <rPr>
            <sz val="10"/>
            <rFont val="Arial"/>
          </rPr>
          <t xml:space="preserve">MABEL ALEXANDRA URBANO URBANO:
Solicitan ampliación para entrega evidencia. 
Se indica que soliciten ampliación de la fecha fin, con su justificación. </t>
        </r>
      </text>
    </comment>
  </commentList>
</comments>
</file>

<file path=xl/sharedStrings.xml><?xml version="1.0" encoding="utf-8"?>
<sst xmlns="http://schemas.openxmlformats.org/spreadsheetml/2006/main" count="6923" uniqueCount="3257">
  <si>
    <t xml:space="preserve"> </t>
  </si>
  <si>
    <t>Proceso de Evaluación
 Gestión del Control y del Mejoramiento Continuo
Matriz de Formulación de Plan de Mejoramiento</t>
  </si>
  <si>
    <t>Proceso Gestión del Control y del Mejoramiento Continuo
Matriz de Seguimiento de  Plan de Mejoramiento</t>
  </si>
  <si>
    <t>Código:</t>
  </si>
  <si>
    <t>PV-GC-2.6- FOR- 10</t>
  </si>
  <si>
    <t>Versión: 1</t>
  </si>
  <si>
    <t>Fecha de actualización:  21-02-2022</t>
  </si>
  <si>
    <t>Proceso/Dependencia</t>
  </si>
  <si>
    <t xml:space="preserve">Área de Seguridad y Movilidad </t>
  </si>
  <si>
    <t>Fecha de suscripción</t>
  </si>
  <si>
    <t>Último seguimiento</t>
  </si>
  <si>
    <t>Responsable del seguimiento:</t>
  </si>
  <si>
    <t>Dora Lilia Chavez Muñoz</t>
  </si>
  <si>
    <t>Nombre del informe</t>
  </si>
  <si>
    <t>2.4-52.18/003 de 2018 Seguimiento al Procedimiento de Servicio de Transporte de la Universidad del Cauca</t>
  </si>
  <si>
    <t xml:space="preserve">Fecha de vencimiento </t>
  </si>
  <si>
    <t>Estado del Plan</t>
  </si>
  <si>
    <t>En valoración efectividad</t>
  </si>
  <si>
    <t xml:space="preserve">Justificación </t>
  </si>
  <si>
    <t>Formulación Plan de Mejoramiento</t>
  </si>
  <si>
    <t>Seguimiento</t>
  </si>
  <si>
    <t>Efectividad</t>
  </si>
  <si>
    <t>Fuente</t>
  </si>
  <si>
    <t>Tipo de Hallazgo</t>
  </si>
  <si>
    <t xml:space="preserve">Descripción, Hallazgo,  Observaciones </t>
  </si>
  <si>
    <t>Causa (s)
(Solo aplica para la No conformidad, Observaciones OCI y hallazgos CGR)</t>
  </si>
  <si>
    <t>Proyecto o Acción</t>
  </si>
  <si>
    <t>Descripción de la Actividad</t>
  </si>
  <si>
    <t>Nombre del Indicador</t>
  </si>
  <si>
    <t>Cantidad de Medida del indicador</t>
  </si>
  <si>
    <t>Responsable de la Actividad</t>
  </si>
  <si>
    <t xml:space="preserve">Periodicidad o frecuencia de realización de la actividad </t>
  </si>
  <si>
    <t>Recursos</t>
  </si>
  <si>
    <t xml:space="preserve"> Evidencia del cumplimiento del Indicador</t>
  </si>
  <si>
    <t>Fecha de inicio programada</t>
  </si>
  <si>
    <t>Fecha de fin programada</t>
  </si>
  <si>
    <t>Plazo en Semanas de la Actividad</t>
  </si>
  <si>
    <t>Fecha de último seguimiento</t>
  </si>
  <si>
    <t>Fecha de cierre de la actividad</t>
  </si>
  <si>
    <t>Semanas de morosidad</t>
  </si>
  <si>
    <t>Sistema de Alerta</t>
  </si>
  <si>
    <t>Avance Físico de Ejecución de las Actividades</t>
  </si>
  <si>
    <t>Porcentaje de Avance Físico de Ejecución de las Actividades</t>
  </si>
  <si>
    <t xml:space="preserve">% tiempo cumplimiento </t>
  </si>
  <si>
    <t>Cumplimiento</t>
  </si>
  <si>
    <t>Evidencia presentada</t>
  </si>
  <si>
    <t>Conclusiones del seguimiento</t>
  </si>
  <si>
    <t>Promedio eficacia y eficiencia</t>
  </si>
  <si>
    <r>
      <t>Gestión
(</t>
    </r>
    <r>
      <rPr>
        <sz val="11"/>
        <color theme="0"/>
        <rFont val="Arial"/>
        <family val="2"/>
      </rPr>
      <t>% subsana la causa y hallazgo</t>
    </r>
    <r>
      <rPr>
        <b/>
        <sz val="11"/>
        <color theme="0"/>
        <rFont val="Arial"/>
        <family val="2"/>
      </rPr>
      <t>)</t>
    </r>
  </si>
  <si>
    <t>Impacto de la mejora
(se mantiene la mejora )</t>
  </si>
  <si>
    <t>Porcentaje efectividad</t>
  </si>
  <si>
    <t>Comentarios</t>
  </si>
  <si>
    <t>Auditoría Interna</t>
  </si>
  <si>
    <t>Observación OCI</t>
  </si>
  <si>
    <t>No se prevén políticas de operación que direccionen la gestión del subproceso objeto de evaluación, hacia la implementación de estrategias de los objetivos institucionales</t>
  </si>
  <si>
    <t>El Área de Seguridad, Control y Movilidad no cuenta con políticas de operación que armonice y articule sus funciones y servicios con las políticas y objetivos de los procesos e institucionales</t>
  </si>
  <si>
    <t xml:space="preserve">Formular e implementar la política de operación del Área de Seguridad, Control y Movilidad.   </t>
  </si>
  <si>
    <t xml:space="preserve">Diseñar la política de operación del Área de Seguridad, Control y Movilidad. </t>
  </si>
  <si>
    <t>Política  diseñada</t>
  </si>
  <si>
    <t>Coordinador de Área de Seguridad, Control y Movilidad</t>
  </si>
  <si>
    <t xml:space="preserve">Anual </t>
  </si>
  <si>
    <t>Talento Humano</t>
  </si>
  <si>
    <t>Registro diseño política</t>
  </si>
  <si>
    <t>Alerta</t>
  </si>
  <si>
    <t xml:space="preserve">Circular informativa para el servicio de transporte 5.4-22.1/1432 del 24/05/2022. Enfásis en la aplicación de la política como referente en los documentos que emite el Área de Seguridad, Control y Movilidad. Legalidad.
Puntualidad: Reuniones mensuales, pero sin enfasis en este eje. Se va hacer el análisis sobre la necesidad de viabilizar horas extras.
Seguridad: A través de herramientas.
Criterios para mantenimiento preventivo de los vehiculos. Revisar ejecución del cronograma de mantenimiento.  Para el descanso y mantenimiento de los vehículos se prevé una programación, no obstante, las negativas de las solicitudes deben orientarse desde las políticas y estrategias del Área.
El coordinador del Área solicitó a a dirección apoyar la aplicación de las políticas y protocolos para la prestación del servicio de transporte. Se cuenta informe del panorama del Área de Transporte.
Se realizó asesoría Facultad de Ciencias de la Salud Acta 5.4.4-12.1/1667 del 14/06/2022. </t>
  </si>
  <si>
    <t xml:space="preserve">Corte noviembre 2020: La política se encuentra diseñada y se solicitó al Centro de Gestión de la Calidad y Acreditación institucional su formalización y publicación en el programa Lvmen. </t>
  </si>
  <si>
    <t xml:space="preserve">Formalizar la política de operación del Área de Seguridad, Control y Movilidad. </t>
  </si>
  <si>
    <t>PolÍtica formalizada</t>
  </si>
  <si>
    <t>Informe de Formalización</t>
  </si>
  <si>
    <t>Con oficio 5.4.4.52.5/2324 del 16/11/2022 el Área de Seguridad, Control y Movilidad remitió los avances del Plan de Mejoramiento, refiriendo los documentos tendientes a la publicación de la Política de Operación de Transporte, la cual se encuentra publicada en el Programa Lvmen del Sistema de Gestión de la Calidad.
La OCI asigna avance del 100%</t>
  </si>
  <si>
    <t xml:space="preserve">Socializar la política de operación del Área de Seguridad, Control y Movilidad </t>
  </si>
  <si>
    <t>PolÍtica socializada</t>
  </si>
  <si>
    <t>Actas reunión, registros fotográficos</t>
  </si>
  <si>
    <t xml:space="preserve">Con oficio 5.4.4.52.5/2324 del 16/11/2022 el Área de Seguridad, Control y Movilidad remitió los avances del Plan de Mejoramiento, refiriendo los registros de socialización de la Política de Operación de Transporte.
La OCI asigna avance del 100%. </t>
  </si>
  <si>
    <t xml:space="preserve">Implementar la política de operación del Área de Seguridad, Control y Movilidad.  </t>
  </si>
  <si>
    <t>PolÍtica implementada</t>
  </si>
  <si>
    <t>Registros del proceso y Actas reunión</t>
  </si>
  <si>
    <t xml:space="preserve">Con oficio 5.4.4.52.5/2324 del 16/11/2022 el Área de Seguridad, Control y Movilidad remitió los avances del Plan de Mejoramiento, refiriendo los registros de implementación de la Política visible en la programación y desarrollo de servicios.
La OCI asigna avance del 100%. </t>
  </si>
  <si>
    <t>Verificar semestralmente el cumplimiento de política de operación del Área de Seguridad, Control y Movilidad.</t>
  </si>
  <si>
    <t>PolÍtica evaluada</t>
  </si>
  <si>
    <t xml:space="preserve">Informe de evaluación. </t>
  </si>
  <si>
    <t>Con oficio 5.4.4.52.5/2324 del 16/11/2022 el Área de Seguridad, Control y Movilidad remitió los avances del Plan de Mejoramiento, refiriendo los registros de socialización de la Política de Operación de Transporte.
La OCI asigna avance del 100%.
Recomendación: Continuar los espacios de socialización de la Política de Operación, con miras a lograr su interiorización e implementación integral</t>
  </si>
  <si>
    <t>La documentación del procedimiento no guía la operación por deficiencias de orden técnico en su construcción.</t>
  </si>
  <si>
    <t>Deficiencia en la elaboración de los procedimientos del subproceso, en cuanto a la determinación del responsable, alcance, marco normativo, actividades y puntos de control.</t>
  </si>
  <si>
    <t>Revisar y actualizar del procedimiento servicio de transporte</t>
  </si>
  <si>
    <t>Procedimiento de servicio de transporte revisado y ajustado</t>
  </si>
  <si>
    <t>Supervisor, técnico administrativo y contratista de apoyo del área de seguridad, control y movilidad</t>
  </si>
  <si>
    <t>Semestral</t>
  </si>
  <si>
    <t>Formato de modificación de procedimiento actualizado</t>
  </si>
  <si>
    <t xml:space="preserve">Se está adelantando un nuevo ajuste al procedimiento para actualizar marco legal, nueva ley de seguridad víal, y las normas ambientales para la emisión de gases. Se recomendó prever en la política lo relacionado con las políticas ambientales.
No hay protocolos en el evento de accidentes vehiculares.
Para validar el procedimiento se verifican las actividades y puntos de control N°13 relacionado con el suministro de combustible. Se partió del contrato de suministro N°5.5-31.6/011 de 2022, por valor de 100 millones. Sobre su ejecución se cuenta con información corte 08/04/2022, no está actualizado corte junio de 2022. Respecto de la conciliación de la información con la Estación de Gasolina se está realizando con periodicidad trimestral, se recomienda revisar esta actividad, el punto de control y prever correctivos inmediatos. Sobre esta actividad se concluye inefectividad.
También se verifica actividad N°13 PA-GA-5.4.4-OD-1 verificación 04-03-2022 sin firma vigilante conductor Fabricio Rivera, sin firma conductor Frey velasco
Reporte novedades, sin la firma del técnico administrativo.
Sin registro del uso del equipo de alcolemia,
11-03-22 cesar leon Cerón no firma el vigilante. Angel Hernando Ceron hIDALGO, sin diligencia formato Popy-santander de Q.
Corte marzo del 2022 el equipo de alcolemia está fuera de servicio. Verificado 10/06/2022. Continua fuera de servicio equipo de alcoholemia. </t>
  </si>
  <si>
    <t>Se evidencian ajustes al procedimiento.
La OCI recomienda requerir al Centro de Gestión de la Calidad y Acreditación Institucional el concepto técnico de aprobación de la modificación y formalizar su publicación
Avance: 100%</t>
  </si>
  <si>
    <t>Evaluar y Ajustar el procedimiento Servicio de Transporte PA-GA-5.4.4-PR-1 con el fin de garantizar una correcta prestación del servicio de transporte.</t>
  </si>
  <si>
    <t>Formalizar de los ajustes realizados en el procedimiento servicio de transporte</t>
  </si>
  <si>
    <t>Procedimiento servicio de transporte ajustado, formalizado</t>
  </si>
  <si>
    <t>Formato de modificación de procedimiento documentado</t>
  </si>
  <si>
    <t xml:space="preserve">Con oficio 5.4.4.52.5/2324 del 16/11/2022 el Área de Seguridad, Control y Movilidad remitió los avances del Plan de Mejoramiento, refiriendo la actualización y publicación del procedimiento.
La OCI asigna avance del 100%. </t>
  </si>
  <si>
    <t>Socializar semestralmente el procedimiento ajustado y actualizado con los funcionarios involucrados en el servicio de transporte</t>
  </si>
  <si>
    <t>Procedimiento servicio de transporte ajustado socializado</t>
  </si>
  <si>
    <t>Actas de reunión de socialización, registro de asistencias, registro fotográfico</t>
  </si>
  <si>
    <t>Inexistencia de protocolos e inaplicación de procedimientos de control de movilización de los vehículos, en garantía de calidad y seguridad en el servicio</t>
  </si>
  <si>
    <t>Deficiencia en la aplicación de los controles para la salida de los vehículos, en garantía de calidad y seguridad del servicio del subproceso.</t>
  </si>
  <si>
    <t>Documentar y evaluar la aplicación del protocolo referente a la movilización de los vehículos, garantía de la calidad y seguridad del servicio.</t>
  </si>
  <si>
    <t>Elaborar el protócolo para el control de salida de los vehículos, en garantía de la calidad y la seguridad del servicio.</t>
  </si>
  <si>
    <t>Protocolos elaborado</t>
  </si>
  <si>
    <t xml:space="preserve">Protocolo documentado </t>
  </si>
  <si>
    <t>0,8</t>
  </si>
  <si>
    <t xml:space="preserve">Con oficio 5.4.4.52.5/2324 del 16/11/2022 el Área de Seguridad, Control y Movilidad remitió los avances del Plan de Mejoramiento, refiriendo el protocolo para el control de salida de los vehículos, código PA-GA-5.4.4-PT-1, Versión: 1; publicado en el programa Lvmen del Sistema de Gestión de la Calidad.
La OCI asigna avance del 100%. </t>
  </si>
  <si>
    <t xml:space="preserve">Con las observaciones de procedimiento. </t>
  </si>
  <si>
    <t xml:space="preserve">Formalizar el protocolo y articularlo con el Procedimiento Servicio de Transporte PA-GA-5.4.4-PR-1. </t>
  </si>
  <si>
    <t>Protocolo formalizado</t>
  </si>
  <si>
    <t>Trimestral</t>
  </si>
  <si>
    <t>Formato  PE-GS-2.2.1 documentado</t>
  </si>
  <si>
    <t xml:space="preserve">Socializar el protocolo y el chequeo diario de inspección para garantizar su aplicación.  </t>
  </si>
  <si>
    <t>Protocolo socializado</t>
  </si>
  <si>
    <t xml:space="preserve">Actas reunión, registros asistencia, registros fotográficos. </t>
  </si>
  <si>
    <t xml:space="preserve">Con oficio 5.4.4.52.5/2324 del 16/11/2022 el Área de Seguridad, Control y Movilidad remitió los avances del Plan de Mejoramiento, refiriendo el oficio  5.4.4-52/2219 del  10/09/2019, registros de asistencia de la capacitación sobre la Política de Operación realizada el 25/10/2021 con las temáticas abordadas.
La OCI con base en la evidencia suminsitrada asigna avance del 80%, sujeto a nuevos ejercicios de socialización del protocolo con el personal responsable. </t>
  </si>
  <si>
    <t xml:space="preserve">Mediante correo electrónico del 22/12/2022 el Área de Transporte adjunta las evidencias en la carpeta 3 protocolos- 3.3- Socialización del protocolo en la que los registros de evidencias coinciden con el reporte del I semestre del 2022.
Se evidencia que se mantiene la información visible sobre la circular 5.24-221/1432 de 24 de mayo de 2022, publicada en la pagina web institucional en la que hace referencia a tiempos de solicitud y descanso de los vehículos y conductores, así mismo los protocolos para el control de salida de vehículos PA-GA-5.4.4-PT-1 y Chequeo Diario de Inspección Sensorial – Vehicular PA-GA-5.4.4-OD-1
</t>
  </si>
  <si>
    <t>Implementar el protocolo y el chequeo diario de inspección</t>
  </si>
  <si>
    <t>protocolos implementado</t>
  </si>
  <si>
    <t xml:space="preserve">Lista de chequeo diario. </t>
  </si>
  <si>
    <t xml:space="preserve">Con oficio 5.4.4.52.5/2324 del 16/11/2022 el Área de Seguridad, Control y Movilidad remitió los avances del Plan de Mejoramiento, refiriendo los registros de aplicación del protócolo y de la herramienta de chequeo diario de inspección sensorial vehicular. </t>
  </si>
  <si>
    <t xml:space="preserve">Verificar con periodicidad la implementación del protocolo y el chequeo diario </t>
  </si>
  <si>
    <t>Protocolo evaluado</t>
  </si>
  <si>
    <t xml:space="preserve">Acta de verificación de implementación del protocolo. </t>
  </si>
  <si>
    <t>Vehículos sin equipos ni elementos de dotación básica</t>
  </si>
  <si>
    <t>.. Débil  gestión de los documentos de control de la dotación básica  de los vehículos del parque automotor</t>
  </si>
  <si>
    <t>Fortalecer los controles para el cumplimiento de los elementos básicos de los vehículos, a través de herramientas tecnológicas y operativas</t>
  </si>
  <si>
    <t>Elaborar un calendario de programación y seguimiento a la calidad de los elementos de dotación básica de los vehículos.</t>
  </si>
  <si>
    <t>Calendario elaborado</t>
  </si>
  <si>
    <t>Coordinador transporte</t>
  </si>
  <si>
    <t>Mensual</t>
  </si>
  <si>
    <t xml:space="preserve">Calendario </t>
  </si>
  <si>
    <t>Con 5.4.4-92/0604 del 08/03/2022 enviado al Área de Seguridad y Control y Movilidad por el cual se solicita recarga de extintores del parque automotor y el suministro de elementos de los botiquines para cada vehiculo.
Acta de entrega 12 extintores a vehiculos 06 al 18 de abril de 2022.  Formato FOR 32 que registra al entrega de los elementos de botiquín y seguridad.
Se menciona que el señor Hugo Vásquez está encargado de esta verificación, a través de los formatos aprobados. En la fecha de visita no consta su diligenciamiento periódico, el cual se ha realizado en una única vez. Los registros no están debidamente archivados.
Se menciona que el Área debe analizar si las actividades que están planteadas no son necesarias en su integralidad, reformarlas conservando el propósito de la mejora, teniendo como precedente la dotación actual por el Área de Seguridad.</t>
  </si>
  <si>
    <t xml:space="preserve">No se reporta información sobre el avance de esta actividad. </t>
  </si>
  <si>
    <t>Verificar el cumplimiento de la dotación básica de los vehículos a través de la lista de chequeo.</t>
  </si>
  <si>
    <t>Dotación verificada</t>
  </si>
  <si>
    <t>Listas de chequeo</t>
  </si>
  <si>
    <t xml:space="preserve">Se creó en la plataforma Google el calendario para visualizar la programación de los horarios para conductores, fechas de mantenimientos preventivos y correctivos, cronogramas con el detalle de uso de los elementos de los automotores a una vigencia programada. 
- En el portal web Institucional-banner “solic.mantenimiento” se encuentra el ingreso al “Eplux” que permite interactuar en tiempo real con el personal en lo relativo al flujo de la información sobre reportes de mantenimiento para realizar ajustes a los automotores, con el registro online del histórico del uso por el personal y condiciones de los vehículos
</t>
  </si>
  <si>
    <t>Revisar permanentemente cumplimiento de la dotación básica de los vehículos a través la coordinación de área se seguridad, control y movilidad.</t>
  </si>
  <si>
    <t>Controles quincenales realizados</t>
  </si>
  <si>
    <t xml:space="preserve">Acta de verificación </t>
  </si>
  <si>
    <t>0,2</t>
  </si>
  <si>
    <t xml:space="preserve">La información que arrojan las diversas fuentes, relativa al servicio de transportes es inconsistente, incompleta y confusa, lo que genera una incertidumbre que impide la buena gestión. </t>
  </si>
  <si>
    <t>Controles inefectivos en la ejecución de  los recursos económicos asignados para el contrato de suministro.</t>
  </si>
  <si>
    <t>Fortalecer lo controles aplicados ejecución de  los recursos económicos asignados para los contratos de suministro.</t>
  </si>
  <si>
    <t>Diseñar e implementar herramienta de control, seguimiento y administración de  los recursos económicos asignados para los contratos de suministro.</t>
  </si>
  <si>
    <t>Herramienta diseñada e implementada</t>
  </si>
  <si>
    <t>Coordinador de trasporte, contratista de apoyo.</t>
  </si>
  <si>
    <t>Herramienta implementada</t>
  </si>
  <si>
    <t xml:space="preserve">REVISAR CON LO DE CONTRATO DE SUMINISTRO. NO ES EFECTIVO. </t>
  </si>
  <si>
    <t xml:space="preserve">-Actualmente hay un nuevo proveedor con un amplio portafolio de servicios: Inversav S.A, según el contrato de suministro N° 5.5-31.6/059 de 2022, vigente alhasta el 31/12/2022, con el objeto: Suministro de combustibles (Gasolina corriente y diesel), filtros, aceites, refrigerantes y úrea vehicular para los vehículos del parque automotor, plantas eléctricas y otros equipos y maquinaria de la Universidad del Cauca. 
- se utiliza un medidor proporcionado por el proveedor del combustible según un chip regulador en cada vehículo. 
-Se hace control de consumo general, lubricantes y combustibles en los vehículos por medio de la matriz de control de consumo de combustibles, que discrimina por galón/kilometro y se parametriza el consumo con indicadores en carretera, ciudad y rural, con controles individuales específicos por área y por vehículo. 
</t>
  </si>
  <si>
    <t>Diseñar  indicadores para medir la utilización de recursos necesarios para el correcto desarrollo de actividades de transporte y movilidad</t>
  </si>
  <si>
    <t>Indicadores establecidos</t>
  </si>
  <si>
    <t>Indicadores documentados</t>
  </si>
  <si>
    <t>La gestión documental no cumple con las disposiciones generales e internas que regulan la materia.</t>
  </si>
  <si>
    <t>Incorrecta aplicación de las políticas de gestión documental del área de seguridad, control y movilidad.</t>
  </si>
  <si>
    <t>Organizar el archivo del subproceso, acorde con las normas, políticas y procedimientos vigentes de gestión documental.</t>
  </si>
  <si>
    <t>Organizar el archivo conforme a los parámetros de la gestión documental vigentes</t>
  </si>
  <si>
    <t>Archivo organizado</t>
  </si>
  <si>
    <t>Responsable de la organización y custodia del archivo</t>
  </si>
  <si>
    <t>Acta de seguimiento de organización del archivo, registro fotográfico.</t>
  </si>
  <si>
    <t>El legajo solicitud de servicios subserie 5.4.4-92.8 del 2018, excede el número de tipos documentales (341) y utiliza como base de control de documentos y referencia una lista no oficial.
El legajo solicitud de servicios 2019, no se encuentra identificado, carece de indice, sin foliación y excede los 200 folios.
El legajo 5.4.4/12.1 del 29 de enero 2019 de asignación de turnos. Se motiva con un manual de funciones versión 2009.
Solicitud de préstamo de vehiculo requiere la firma del Jefe División que implica revisar 5 tipos documentales.
El formato de orden de viaje no se encuentra firmado por el responsable del viaje, en tanto el conductor no sale del automotor con la persona que requiere el servicio.
Para los servicios de transporte de la VRI, no reposa el formato de avance en tanto los recursos de tramitan desde la VRI.
COMPROMISO: Fijar un plan de trabajo para organización integral del archivo de gestión. Con metas y términos de cumplimiento. 
Continuan presentandose debilidades en la aplicación de las normas documentales, en cuanto a que se encuentra material metalico, notas en lapiz.</t>
  </si>
  <si>
    <t> </t>
  </si>
  <si>
    <t>Realizar seguimiento de organización del archivo y de la gestión documental acorde con la normatividad vigente</t>
  </si>
  <si>
    <t>Acta diseñada e implementada</t>
  </si>
  <si>
    <t>0,7</t>
  </si>
  <si>
    <t xml:space="preserve">
Corte diciembre 2021: No se reporta información sobre el avance de esta actividad. </t>
  </si>
  <si>
    <t>Asistir a las jornadas de capacitación de correcto uso de las políticas y procedimientos de gestión documental.</t>
  </si>
  <si>
    <t>Capacitaciones realizadas</t>
  </si>
  <si>
    <t>Registro de asistencia</t>
  </si>
  <si>
    <t>Capacitaciones realizadas. 
Con listado de asistencia del 18/01/2024, se evidencia la participación del técnico administrativo del área de transporte a la socialización de las tablas de retención documental - TRD.</t>
  </si>
  <si>
    <t xml:space="preserve">
Se asigna un avance del 100%, pasando de 50 a 100, al constatar que se realizó la capacitación requerida para la vigencia 2024.</t>
  </si>
  <si>
    <t xml:space="preserve">No se encuentran identificados los riesgos de gestión y corrupción para el subproceso de gestión de seguridad y movilidad </t>
  </si>
  <si>
    <t>La gestión del riesgo no ha sido considerada como un componente estratégico para la gestión del servicio de transporte.</t>
  </si>
  <si>
    <t>Identificar los riesgos de gestión y corrupción para el subproceso.</t>
  </si>
  <si>
    <t>Gestionar los riesgos de corrupción y gestión del servicio de transporte.</t>
  </si>
  <si>
    <t xml:space="preserve">Riesgos gestionados </t>
  </si>
  <si>
    <t>Coordinador de transporte</t>
  </si>
  <si>
    <t>Mapa de Riesgos del proceso</t>
  </si>
  <si>
    <t>La OCI evidencia que el riesgo fue incluido en el mapa de riesgo institucional en la vigencia 2023, sin embargo no se encuentra incluido en la vigencia 2024.
El avance pasa de 70% a 90%. Pendiente visibilización en el mapa de riesgos institucional</t>
  </si>
  <si>
    <t xml:space="preserve">Relaciones conflictivas de los universitarios </t>
  </si>
  <si>
    <t>Estrés laboral, no desarrollo de actividades que mejoren el clima laboral</t>
  </si>
  <si>
    <t>Gestionar la intervención del Área de seguridad y salud en el trabajo</t>
  </si>
  <si>
    <t>Solicitar diagnostico al área de seguridad y salud en el trabajo</t>
  </si>
  <si>
    <t>Solicitud realizada</t>
  </si>
  <si>
    <t>Coordinador de Área de Seguridad, Control y Movilidad - área de seguridad y salud en el trabajo</t>
  </si>
  <si>
    <t>Solicitud de diagnóstico.</t>
  </si>
  <si>
    <t xml:space="preserve"> -Capacitación sobre el tema de horas extras-oficio 5.4.4-1.56/1366 del 17-05-2022.  
-evidencia de socialización de la política y operación de transporte 5.4.4-12.1/1667 del 14.-06-2022-  por parte de la -evidencia de reiteración de políticas de transporte 5.4.4-52.5/2279 del 02-8-2022. 
-Con oficio 5.4.4-92.8/0028 “solicitud evaluación clima laboral” del 13/12/2022 dirigido al area de segurid y salud en el trabjo se solicita un nuevo diagnostico al clima laboral del subproceso de movilidad
- en diciembre del 2022 se realizo un nuevo diagnostico de riesgo psicosocial en el area cuyo resultados se encuentran en proceso en el area de seguridad y salud en el trabajo 
</t>
  </si>
  <si>
    <t xml:space="preserve">Con oficio 5.4.4.52.5/2324 del 16/11/2022 el Área de Seguridad, Control y Movilidad remitió los avances del Plan de Mejoramiento, refiriendo el Informe de Evaluación del Clima Laboral emitido por el Área de Seguridad y Salud en el Trabajo.
La OCI asigna avance del 100%. </t>
  </si>
  <si>
    <t>Realizar seguimiento a los correctivos que se deban implementar por el área de seguridad y salud en el trabajo</t>
  </si>
  <si>
    <t>Seguimiento realizado</t>
  </si>
  <si>
    <t>Coordinador de Área de Seguridad, Control y Movilidad - Área de seguridad y salud en el trabajo</t>
  </si>
  <si>
    <t>Acta de seguimiento a las acciones realizadas</t>
  </si>
  <si>
    <t xml:space="preserve">-Capacitación sobre el tema de horas extras-oficio 5.4.4-1.56/1366 del 17-05-2022.  
-evidencia de socialización de la política y operación de transporte 5.4.4-12.1/1667 del 14.-06-2022-  por parte de la -evidencia de reiteración de políticas de transporte 5.4.4-52.5/2279 del 02-8-2022. 
-Con oficio 5.4.4-92.8/0028 “solicitud evaluación clima laboral” del 13/12/2022 dirigido al area de segurid y salud en el trabjo se solicita un nuevo diagnostico al clima laboral del subproceso de movilidad
- en diciembre del 2022 se realizo un nuevo diagnostico de riesgo psicosocial en el area cuyo resultados se encuentran en proceso en el area de seguridad y salud en el trabajo 
</t>
  </si>
  <si>
    <t>Con oficio 5.4.4.52.5/2324 del 16/11/2022 el Área de Seguridad, Control y Movilidad remitió los avances del Plan de Mejoramiento, refiriendo los informes de acciones para mejorar el clima laboral con oficio 5.4.5.64/1357 del 10/08/2021.
La OCI evidencian que el oficio precitado concluye el cierre del seguimiento a las acciones de mejora derivadas de la evaluación al clima laboral, lo cual no es consistente con las observaciones identificadas por el Área de Seguridad y Salud en el Trabajo.
Se asigna avance del 50%, sujeto a la continuidad de las acciones tenientes al mejoramiento del clima laboral.</t>
  </si>
  <si>
    <t>Puntaje Obtenido</t>
  </si>
  <si>
    <t>4,2</t>
  </si>
  <si>
    <t xml:space="preserve">              Código:</t>
  </si>
  <si>
    <t>Centro de Gestión de la Calidad y Acreditación Institucional</t>
  </si>
  <si>
    <t>Diego Huaman - Adriana Tello</t>
  </si>
  <si>
    <t xml:space="preserve">INFORME 2.6-52.18/18 de 2018 DE SEGUIMIENTO AL PLAN DE GESTIÓN AMBIENTAL DE LA UNIVERSIDAD DEL CAUCA Y SU EFECTIVIDAD EN EL MANEJO DE RESIDUOS SÓLIDOS </t>
  </si>
  <si>
    <t>Con acta 2.6-1.60/23 del 01/12/2022 se concluye el cierre del PM, con valoración de efectividad del 79% con actividades pendientes.</t>
  </si>
  <si>
    <t>Auditoría Interna Control Interno</t>
  </si>
  <si>
    <t>Definir nueva estructura administrativa para la Gestión Ambiental : El Comité de Gestión Ambiental de la Universidad no está operando ni atendiendo sus funciones de acuerdo a los términos establecidos en la Resolución R-391 de 2010, ni realiza las sesiones periódicas; al evidenciar que durante el año 2013 sólo se reunieron tres veces en el segundo semestre.</t>
  </si>
  <si>
    <t>Los propósitos de la Universidad no se orientan a la transversalidad de lo ambiental en las acciones misionales y de apoyo  para que se garantice una verdadera y dinámica gestión institucional fundamentada en el cuidado y sostenibilidad del entorno.</t>
  </si>
  <si>
    <t>Establecer, aprobar y socializar la  Política Ambiental Institucional.</t>
  </si>
  <si>
    <t xml:space="preserve">Ajustar y aprobar documento Política de Gestión Ambiental Institucional. </t>
  </si>
  <si>
    <t>Acto administrativo adoptado.</t>
  </si>
  <si>
    <t xml:space="preserve">
Director Centro de Gestión de la Calidad y la Acreditación Institucional - Rector - Consejo Superior</t>
  </si>
  <si>
    <t xml:space="preserve">Actos administrativos y planes operativos que ejecuten lo dispuesto en la Política Ambiental Institucional </t>
  </si>
  <si>
    <t>Acuerdo Superior 058 de 2018.</t>
  </si>
  <si>
    <t>Se adoptó la Politica de Gestión Ambiental de la Universidad del Cauca, que orienta el campo de aplicación, definiciones, objetivos (4), y líneas estratégicas (5).</t>
  </si>
  <si>
    <t xml:space="preserve">Socializar y sensibilizar a la comunidad universitaria acerca de la importancia de adoptar la Política de Gestión Ambiental Institucional .
</t>
  </si>
  <si>
    <t>Número de herramientas diseñadas y aplicadas para socialización Política Ambiental Institucional.</t>
  </si>
  <si>
    <t>Director Centro de Gestión de la Calidad y Acreditación Institucional
Director Centro de Gestión de las Comunicaciones</t>
  </si>
  <si>
    <t>Talento Humano, Recursos Físicos, Recursos Financieros</t>
  </si>
  <si>
    <t>Información divulgada a través de Medios institucionales</t>
  </si>
  <si>
    <t xml:space="preserve">Acuerdo Superior 058 de 2018, Acta 01 del 15/05/2019, Acta 02 del 23/05/2019, Correo electrónico (24/10/2019), invitación y presentación Semana del Turismo Sostenible (19/05/2019). 
La Universidad del Cauca por medio del Acuerdo 058 de 2018 adoptó la Política Ambiental Institucional. El equipo operativo de Gestión Ambiental realizó jornadas de socialización de la Política Ambiental dirigidas a: Área de Mantenimiento, Coordinación del Programa de Ingeniería Ambiental y estudiantes del Programa Turismo. 
Se informó respecto a la reactivación y actualización del Blog de Gestión Ambiental del portal web institucional. La OCI recomienda revisar los siguientes aspectos:  
La dirección URL http://htttp.unicauca.edu.co//ublogs.unicauca.edu.co/gestionambiental, no re direcciona al Blog. 
La ubicación del blog en el programa Lvmen carece de visibilidad, lo que podría afectar su propósito como espacio de comunicación de la gestión ambiental universitaria. Las econotas relacionadas con la disposición de residuos, política cero papel y ahorro de energía presentan exceso de texto, por lo que se recomienda atender las orientaciones emitidas en el marco de las reuniones realizadas para la planificación de la campaña ambiental. </t>
  </si>
  <si>
    <t>Se desarrolló las socializaciones a traves de los medios institucionales y correos masivos, con alcance a programas acádemicos  y estudiantes de pregrado.</t>
  </si>
  <si>
    <t xml:space="preserve">
Falta de operatividad del Comité de Gestión Ambiental, como instancia que direccione las políticas, objetivos, planes y proyectos de gestión ambiental en la Universidad del Cauca, con el fin de garantizar el cumplimiento de los mandatos normativos generales para el cuidado y sostenibilidad del entorno. </t>
  </si>
  <si>
    <t xml:space="preserve">Establecer estructura administrativa para la gestión ambiental  </t>
  </si>
  <si>
    <t xml:space="preserve">Conformar y asignar funciones a los Comités Técnico y operativo responsables de direccionar la gestión ambiental institucional. </t>
  </si>
  <si>
    <t>Comité técnico y operativo conformados 
No.Actos administrativos adoptados.</t>
  </si>
  <si>
    <t xml:space="preserve">Rector
Director Centro de Gestión de la Calidad y la Acreditación Institucional.
</t>
  </si>
  <si>
    <t>Propuesta Resolución conformación del comité técnico y operativo.</t>
  </si>
  <si>
    <t>Propuesta presentada y aprobada</t>
  </si>
  <si>
    <t xml:space="preserve">Proponer el acto administrativo de conformación y gestionar su aprobación por la Rectoría. 
</t>
  </si>
  <si>
    <t>Resolución R. 0342 de 2020 (Por la cual se reglamenta el Comité Técnico de Gestión Ambiental de la Universidad del Cauca)</t>
  </si>
  <si>
    <t>Reglamenta el funcionamiento del Comité Técnico de Gestión Ambiental de la Universidad del Cauca, su conformación y funciones en correspondencia con el Acuerdo superior 058/2018.</t>
  </si>
  <si>
    <t xml:space="preserve">Falta de operatividad del Comité de Gestión Ambiental, como instancia que direccione las políticas, objetivos, planes y proyectos de gestión ambiental en la Universidad del Cauca, con el fin de garantizar el cumplimiento de los mandatos normativos generales para el cuidado y sostenibilidad d+C4el entorno. </t>
  </si>
  <si>
    <t xml:space="preserve">
Desarrollar la fase de discusión y definición de la instancia responsable del direccionamiento  de la gestión ambiental Institucional.
</t>
  </si>
  <si>
    <t>Conforma el El Comité de Gestión Ambiental:
El Director del Centro de Gestión de la Calidad y Acreditación Institucional
El vicerrector de Cultura y Bienestar 
Cinco docentes de planta, uno por cada línea estratégica ambiental
Un profesional universitario con formación en Educación Ambiental adscrito al Centro de Gestión de la Calidad y Acreditación Institucional 
Define las funciones del Comité, terminos de operación y la creación de un Equipo Operativo integrado por profesionales con competencias en el área ambiental</t>
  </si>
  <si>
    <t xml:space="preserve">Falta de operatividad del Comité de Gestión Ambiental, como instancia que direccione las políticas, objetivos, planes y proyectos de gestión ambiental en la Universidad del Cauca, con el fin de garantizar el cumplimiento de los mandatos normativos generales para el cuidado y sostenibilidad del entorno. </t>
  </si>
  <si>
    <t xml:space="preserve">Elaborar propuesta de resolución rectoral de constitución de nueva estructura administrativa para el tema ambiental.
</t>
  </si>
  <si>
    <t>Resolución define Comité de gestión Ambiental y sus funciones  y conformación de equipo operativo</t>
  </si>
  <si>
    <t xml:space="preserve">Actualizar Plan de Gestión Ambiental Institucional/
 En la entidad no existe diagnósticos ni inventarios precisos (actualizados) sobre actividades que afectan directa e indirectamente el medio ambiente y los recursos naturales, ni evaluación de los impactos ambientales significativos. </t>
  </si>
  <si>
    <t xml:space="preserve">Los propósitos de la Universidad no se orientan a la transversalidad de lo ambiental en las acciones misionales y de apoyo  para que se garantice una verdadera dinámica gestión institucional fundamentada en el cuidado y sostenibilidad del entorno.
</t>
  </si>
  <si>
    <t xml:space="preserve">Actualizar Plan de gestión ambiental considerando  diagnósticos existentes  
</t>
  </si>
  <si>
    <t>Considerar diagnósticos  existentes y  elaborar Diagnósticos Agua, Energía, movilidad sostenible.</t>
  </si>
  <si>
    <t xml:space="preserve">Número de diagnósticos realizados /líneas estratégicas.
Documento Plan de Gestión Ambiental. 
</t>
  </si>
  <si>
    <t xml:space="preserve">Comité Técnico - Equipo  Operativo de Gestión Ambiental.  </t>
  </si>
  <si>
    <t>Bianual</t>
  </si>
  <si>
    <t>Propuesta Plan de gestión ambiental actualizado</t>
  </si>
  <si>
    <r>
      <t>El Centro de Gestión de la Calidad y Acreditación Institucional,  informó respecto de la actualización de los diagnósticos y necesidades de insumos que obedecen a la implementación del Plan de Gestión Integral de Residuos - PGIR de la Universidad del Cauca.  Se remite el Plan de Gestión Ambiental - PGA Vigencia 2021 que recoge los diagnósticos ambientales avanzados hasta la fecha como resultado del análisis de la MAIA.</t>
    </r>
    <r>
      <rPr>
        <b/>
        <sz val="11"/>
        <rFont val="Arial"/>
        <family val="2"/>
      </rPr>
      <t/>
    </r>
  </si>
  <si>
    <t xml:space="preserve">Diagnosticos realizados y actualizados
 Avance 100%, sujeto a la aprobación del Plan de Gestión de Ambiental por el Comité Técnico de Gestión Ambiental. </t>
  </si>
  <si>
    <t xml:space="preserve">
Construir la matriz de aspectos e impactos ambientales.</t>
  </si>
  <si>
    <t xml:space="preserve">La Matriz actual prevé el ciclo de vida con base en la ISO 14001 v7. Se definió por procesos. Su conexión con la política identifica aquellos aspectos que generen impactos ambientales considerando las líneas estratégicas. Por ej campo sostenible consumo de papel, energía, gestión de residuos solidos. Respecto del consumo de energía se ha previsto la necesidad de realizar auditoría energética, no obstante se valoró consumo a través de facturas. KW horas, efecto huella carbono, esto permite adoptar medidas además de la austeridad en el gasto, analizar el impacto ambiental a través de tecnología led, sensores, y demás medios para minimizar el costo ambiental. 
El Comité sesionó por primera vez el 21/06/2022. 
 Pasa 80 a 100%. </t>
  </si>
  <si>
    <t>Determinar los aspectos internos y externos que puedan afectar la capacidad de la Institución para lograr los objetivos previstos.</t>
  </si>
  <si>
    <t xml:space="preserve">Con correo eletrónico del 09/12/2021 desde la cuenta gestionambiental@unicauca.edu.co,  se recibió la matriz de seguimiento al Plan de Mejoramiento de Gestión Ambiental, remitiendo: 
-Contexto ambiental incluye matriz DOFA. 
-Matriz de objetivos ambientales. 
-Definición de los grupos de interés. 
-Matriz de riesgos ambientales MARUC. </t>
  </si>
  <si>
    <t xml:space="preserve">Con base en la base en la evidencia suministrada, la OCI asigna avance del 100%. 
Recomendación: Gestionar los riesgos ambientales a partir de la tipología prevista en la Política de Administración del Riesgo y su MARUC. </t>
  </si>
  <si>
    <t>Los propósitos de la Universidad no se orientan a la transversalidad de lo ambiental en las acciones misionales y de apoyo  para que se garantice una verdadera dinámica gestión institucional fundamentada en el cuidado y sostenibilidad del entorno.</t>
  </si>
  <si>
    <t xml:space="preserve">Actualizar Plan de gestión ambiental considerando  diagnósticos existentes  </t>
  </si>
  <si>
    <t>Definir Plan de Gestión Ambiental considerando líneas estratégicas definidas en Política y Diagnósticos.</t>
  </si>
  <si>
    <t xml:space="preserve">Con oficio 2.2-27.13/001 del 29/01/2025 el CGCyAI informó:
1.1 Acta de reunión 2.2-3.36/001 de 2025, Comité Técnico Ambiental aprueba el Plan de Gestión Ambiental y el Plan de Gestión Integral de Residuos, con el fin de dar cumplimiento a la Politíca Ambiental y a las metas establecidas en el Plan de Desarrollo Institucional 2023-2027.
1.2 Documento Plan de Gestión Ambiental presentado por el Centro de Gestión de la Calidad y de la Acreditación Institucional, Área de Gestión Ambiental.
1.3 Plan de Gestión de Residuos que incluye el Plan de Gestión Integral de Residuos, propuesta protocolo para actuar ante emergencias por derrames y fugas de residuos peligrosos, programa de capacitación y socialización de las sencibilizaciones de los aspectos ambientales a lacomunidad universitaria y propuesta de instructivo bioseguridad entrega de equipos.   
 </t>
  </si>
  <si>
    <t>Estructurar un plan de acción acorde a los hallazgos y diagnósticos previos:  / La Universidad del Cauca para la vigencia de 2013 no contó con Plan de Acción que le permitiera establecer actividades especificas a desarrollar para ejecutar los programas propuestos (10) en el Plan de Gestión Ambiental 2013, con fechas, responsables, recursos y controles</t>
  </si>
  <si>
    <t>No se cuenta con diagnósticos que permitan definir los principales impactos y efectos ambientales generados producto de sus actividades misionales y los posibles riesgos asociados.</t>
  </si>
  <si>
    <t>Formular Plan de Manejo de Riesgos Ambientales.</t>
  </si>
  <si>
    <t xml:space="preserve">Revisar los diagnósticos e informes ambientales, para identificar las áreas de la Institución que son más críticas para el cumplimiento de sus requisitos legales y de otros compromisoosderivados de la Política. </t>
  </si>
  <si>
    <t>No. riesgos ambientales y controles identificados.</t>
  </si>
  <si>
    <t>Matriz de aspectos e impactos ambientales.
Identificación posibles riesgos ambientales según líneas estratégicas.</t>
  </si>
  <si>
    <t>Con oficio 2.2-27.13/001 del 29/01/2025 el CGCyAI informó:
2.1 Propuesta metodológica para la administración de riesgos y oportunidades ambientales, como anexo a la metodología de administración del riesgo de la Universidad del Cauca – MARUC 
2.2 Documento riesgos climáticos en el contexto universitario
2.3 Matriz identificación de riesgos climáticos
2.4 Matriz de riesgos y oportunidades ambientales</t>
  </si>
  <si>
    <t xml:space="preserve">Se identifican las unidades de interés, los aspectos e impactos ambientales y las necesidades estrategícas desde el reconcimiento de las actividades, productos y servicios de la institución. </t>
  </si>
  <si>
    <t>Construir la matriz de riesgos ambientales.</t>
  </si>
  <si>
    <t>Se presenta una propuesta metodológica para la identificación y gestión de los riesgos ambientales por parte del equipo operativo de gestión ambiental, la cual fue socializada con la OPDI y está a la espera de su aprobación.</t>
  </si>
  <si>
    <t>Falta de operatividad del Comité de Gestión Ambiental, para la definición de líneas de trabajo que incluyan en el Plan de Acción anual, metas, recursos,  indicadores y responsables.</t>
  </si>
  <si>
    <t>Definir un Plan de Acción acorde a diagnósticos y contexto de la Institución.</t>
  </si>
  <si>
    <t xml:space="preserve">Definir objetivo y alcance considerando la Política Ambiental Institucional. </t>
  </si>
  <si>
    <t xml:space="preserve">Documento Plan de Desarrollo Institucional con inclusión del tema ambiental.
Documento Plan de Acción por cada vigencia.  </t>
  </si>
  <si>
    <t>Consejo Superior
Director Centro de Gestión de la Calidad y la Acreditación Institucional.
Comité Técnico de Gestión Ambiental</t>
  </si>
  <si>
    <t>Plan de acción 
Plan de gestión ambiental actualizado</t>
  </si>
  <si>
    <t xml:space="preserve">En el cumplimiento del Plan de Desarrollo Institucional y la Política Ambiental se adelantó por parte del equipo operativo de gestión ambiental el plan de acción vigencia 2024. </t>
  </si>
  <si>
    <t>Establecer metas, recursos, indicadores, fechas y responsables que permitan cumplir con los objetivos del Plan de Gestión Ambiental, en el marco de lo consignado en la Política Ambiental Institucional.</t>
  </si>
  <si>
    <t>Consejo Superior, Oficina de Planeación y Desarrollo Institucional, Vicerrectorías, Comité Técnico de Gestión Ambiental.</t>
  </si>
  <si>
    <t>Recursos Financieros</t>
  </si>
  <si>
    <t xml:space="preserve">Con oficio 2.2-27.13/001 del 29/01/2025 el CGCyAI informó:
4.1 Batería de indicadores                                                                                                                                                   </t>
  </si>
  <si>
    <t>Se evidencia un excel que contiene la batería de indicadores ambientales con diferentes programas como:
1. Uso eficiente de los recursos 
2. Programa de Gestión Integral de Residuos
3. Programa de Educación Ambiental
4. Adaptación y Mitigación al Cambio Climático</t>
  </si>
  <si>
    <t xml:space="preserve">Falta de operatividad del Comité de Gestión Ambiental, para la definición de líneas de trabajo que incluyan en el Plan de Acción anual, metas, recursos,  indicadores y responsables.
</t>
  </si>
  <si>
    <t xml:space="preserve">
Definir mecanismos de seguimiento y control a Plan de Acción.
</t>
  </si>
  <si>
    <t>Comité Técnico y Equipo operativo de Gestión Ambiental.</t>
  </si>
  <si>
    <t>Con oficio 2.2-27.13/001 del 29/01/2025 el CGCyAI informó:
1.1 Acta de reunión 2.2-3.36/001 de 2025.
1.2 Documento Plan de Gestión Ambiental presentado por el Centro de Gestión de la Calidad y de la Acreditación Institucional, Área de Gestión Ambiental.</t>
  </si>
  <si>
    <t>Se evidencia que el Comité Técnico Ambiental aprueba el Plan de Gestión Ambiental y el Plan de Gestión Integral de Residuos, con el fin de dar cumplimiento a la Política Ambiental y a las metas establecidas en el Plan de Desarrollo Institucional 2023-2027. Igualmente, se hace entrega del Plan de Gestión Ambiental encaminado a la prevención, mitigación y control de los aspectos ambientales de la institución.</t>
  </si>
  <si>
    <t>Definir rubro de funcionamiento e inversión para gestión ambiental en el presupuesto anual institucional. En el presupuesto de ingresos y gastos para la vigencia 2013 no se determinaron de manera expresa los recursos a intervenir para atender los programas relacionados con la GAI en las cuatro Unidades, y en efecto no se evidencia ejecución de los recursos previstos en el Plan Operativo de Inversión por $50.000.000.</t>
  </si>
  <si>
    <t xml:space="preserve">Falta de operatividad del Comité de Gestión Ambiental, los propósitos de la Universidad no se orientan a la transversalidad de lo ambiental en las acciones misionales y de apoyo  para que se garantice una verdadera y dinámica de gestión institucional fundamentada en el cuidado y sostenibilidad del entorno.
</t>
  </si>
  <si>
    <t>Gestión de recursos  para implementar la Política Ambiental institucional.</t>
  </si>
  <si>
    <t>Establecer objetivos de las líneas estratégica definidas en la Política Ambiental.</t>
  </si>
  <si>
    <t xml:space="preserve">Presupuesto institucional con rubro asignado para gestión ambiental. </t>
  </si>
  <si>
    <t xml:space="preserve">Presupuesto Institucional </t>
  </si>
  <si>
    <t>Con correo eletrónico del 09/12/2021 desde la cuenta gestionambiental@unicauca.edu.co,  se recibió la matriz de seguimiento al Plan de Mejoramiento de Gestión Ambiental, remitiendo evidencian valoradas en el seguimiento corte junio 2021 que relacionan los registros del desarrollo de la actividad de mejora. 
Acta 2.2-1.56/01 del 21/06/2022 y Acta 2.2-1.56/02 del 28/07/2022 de Comité Técnico de Gestión Ambiental de Socialización PGA y otros temas. 
Documentos del proyecto “Fortalecimiento del Sistema de Gestión Ambiental de la Universidad del Cauca”</t>
  </si>
  <si>
    <t>La OCI conserva el avance del 90%,  sujeto a la aprobación del Comité Técnico de Gestión Ambiental. Y viabilización del presupuesto en la OPDI.</t>
  </si>
  <si>
    <t xml:space="preserve">
Realizar la proyección de recursos necesarios para implementar la política ambiental considerando las líneas estratégicas para cada vigencia.
</t>
  </si>
  <si>
    <t xml:space="preserve">Con correo eletrónico del 09/12/2021 desde la cuenta gestionambiental@unicauca.edu.co,  se recibió la matriz de seguimiento al Plan de Mejoramiento de Gestión Ambiental, relacionando el documento "Plantilla de inversión definitiva para la vigencia 2022", el cual no permite establecer el nivel de avance del proyecto de inversión RG 2017-037 “Fortalecimiento del Sistema Gestión Ambiental Institucional" corte diciembre 2021. 
Acta 2.2-1.56/01 del 21/06/2022 y Acta 2.2-1.56/02 del 28/07/2022 de Comité Técnico de Gestión Ambiental de Socialización PGA y otros temas. 
Documentos del proyecto “Fortalecimiento del Sistema de Gestión Ambiental de la Universidad del Cauca” con presupuesto detallado en el formato PE-GE-2.2- FOR -48 Anexo B. Presentación y Seguimiento proyectos V2.
</t>
  </si>
  <si>
    <t>Incorporar en el Plan Institucional de Capacitación, la temática ambiental definida según diagnóstico/ A pesar de las campañas y transmisiones realizadas por los  medios de comunicación de la Entidad sobre el tema ambiental, en  la vigencia 2013 no se evidencia amplia difusión del Plan de Gestión Ambiental Institucional, y las acciones de sensibilización no han sido efectivas para  lograr el conocimiento de la política ambiental, objetivos y metas establecidas ni la sensibilización ambiental y respuesta de toda la comunidad universitaria.</t>
  </si>
  <si>
    <t>Incorporar en el Plan Institucional de Capacitación, la temática ambiental definida según diagnósticos.</t>
  </si>
  <si>
    <t>Definir acciones de sensibilización y capacitación considerando las líneas estratégicas definidas en la Política Ambiental Institucional.</t>
  </si>
  <si>
    <t>No.Acciones de sensibilización realizadas.</t>
  </si>
  <si>
    <t>Comité Técnico de Gestión Ambiental y Equipo Operativo de Gestión Ambiental.</t>
  </si>
  <si>
    <t>PIC, Registros de asistencias, Videoclips, Campañas</t>
  </si>
  <si>
    <t xml:space="preserve">Piezas gráficas e infografias, correos masivos, redes sociales. Se cuenta con cronograma de seguimiento manejo residuos laboratorios docencia e investigación Universidad del Cauca, para identificar oportunidades de mejora relacionadas con la gestión de procesos y residuos al interior de los laboratorios. 
</t>
  </si>
  <si>
    <t xml:space="preserve">Se asigna avance del 100%, condicionada la efectividad a dar permanencia a la mejora. </t>
  </si>
  <si>
    <t>Definir estrategias de  seguimiento y evaluación del PGA /Se carece de mecanismos efectivos para el control y seguimiento en el proceso de implementar acciones tendientes a la prevención, mitigación y corrección de impactos ambientales que puedan producir sus actividades misionales y de apoyo y contribuir a la conservación del patrimonio natural.</t>
  </si>
  <si>
    <t xml:space="preserve">Falta de operatividad del Comité de Gestión Ambiental.
El Plan de Gestión Ambiental Institucional vigente presenta falencias en cuanto a metas, indicadores y responsables </t>
  </si>
  <si>
    <t>Definir estrategias de  seguimiento y evaluación del PGA considerando aspectos e impactos ambientales identificados a través de  diagnósticos.</t>
  </si>
  <si>
    <t>Definir estrategias de  control  y seguimiento para cumplimiento de metas e indicadores.</t>
  </si>
  <si>
    <t>No.Informes de seguimiento y control a las acciones previstas y a los indicadores definidos.
No. visitas de seguimiento a Plan de Mejora para avances y efectividad de las acciones definidas.</t>
  </si>
  <si>
    <t>Adelantar las acciones de control y seguimiento definidas.</t>
  </si>
  <si>
    <t xml:space="preserve">Informes, Listas de chequeo de visitas, Actas, registros fotográfico y de asistencia </t>
  </si>
  <si>
    <t xml:space="preserve">Con oficio 2.2-27.13/001 del 29/01/2025 el CGCyAI informó:
1.2 Documento Plan de Gestión Ambiental presentado por el Centro de Gestión de la Calidad y de la Acreditación Institucional, Área de Gestión Ambiental.
1.3 Plan de Gestión Integral de Residuos
3.3 OPDI - Tercer seguimiento PDI.zip
6.2 Informe de Seguimiento Plan de Gestión Ambiental
</t>
  </si>
  <si>
    <t xml:space="preserve">Se define el seguimento de la implementación mediante: revisión periodica del plan, evaluación de programas y actividades, compromiso de actores clave.
Se adelantan las acciones correspondientes Proyecto software para el sistema de gestión ambiental de la institución.  
</t>
  </si>
  <si>
    <t>Elaborar Informes de Seguimiento a las acciones propuestas.</t>
  </si>
  <si>
    <t>Con oficio 2.2-27.13/001 del 29/01/2025 el CGCyAI informó:
6.2 Informe de Seguimiento Plan de Gestión Ambiental</t>
  </si>
  <si>
    <t>Verificar avances a Plan de Mejora definido.</t>
  </si>
  <si>
    <t xml:space="preserve">Con correo eletrónico del 09/12/2021 desde la cuenta gestionambiental@unicauca.edu.co,  se recibió la matriz de seguimiento al Plan de Mejoramiento de Gestión Ambiental, remitiendo el plan de acción de la vigencia, que define actividades, metas, indicadores, tiempo de ejecución, evidencia y responsables. Igualmente, se logra observar el seguimiento  la ejecución de la programación, con corte a junio y diciembre del 2021.  
</t>
  </si>
  <si>
    <t xml:space="preserve">
La OCI avala el avance del 80% propuesto. 
Se logra observar que el plan de mejoramiento constituye referente para los ejercicios de autoevaluación y mejoramiento del proceso ambiental que lidera el CGCAI. 
</t>
  </si>
  <si>
    <t>Actividad con efectividad de 83%,
Eficacia y eficiencia: 50% el plan de mejoramiento se gestionó con 36% de cumplimiento.
Gestión: 100%, el plan de mejoramiento es referente para las acciones de impulso a la gestión ambiental institucional
Impacto: 100%, existe mejora en la gestión ambiental, pero existen actividades pendientes de ejecución.</t>
  </si>
  <si>
    <t>Puntaje total</t>
  </si>
  <si>
    <t>30/07/2024</t>
  </si>
  <si>
    <t>Olga Camacho</t>
  </si>
  <si>
    <t>PLAN DE MEJORAMIENTO ARCHIVO HISTÓRICO</t>
  </si>
  <si>
    <t>Instrumentos de descripción. No se cuenta con instrumentos de descripción a nivel de catálogo e índices, para el fondo documental Carlos Albán, y el denominado “Archivo Inactivo”</t>
  </si>
  <si>
    <t>Aplicar los instrumentos de descripción necesarios para catálogar y controlar las unidades documentales del fondo "archivo inactivo"</t>
  </si>
  <si>
    <t>Catalogar un 30% del total de la documentación perteneciente al fondo "Archivo Inactivo".</t>
  </si>
  <si>
    <t>Fichas de catalogación de la documentación perteneciente al "archivo inactivo"</t>
  </si>
  <si>
    <t xml:space="preserve">Equipo de trabajo para catalogación y Dirección Archivo Histórico </t>
  </si>
  <si>
    <t>Registros de catalogación. 
Informes mensuales, catálogos con la información indexada.</t>
  </si>
  <si>
    <t>Se realizó la limpieza a ciento noventa y tres (193) paquetes, embalados en doscientas treinta y dos (232) cajas, a la fecha, se han catalogados los 108 paquetes; ingresaron al catálogo entre enero y julio de 2024 novecientas seis  (906) signaturas que según su temática y temporalidad se ubicaron en los fondos "Antiguo Archivo Central Del Cauca” Sección “República”, con setecientos noventa y siete (797) y Universidad del Cauca ciento nueve (109) -  El cien por ciento (100%) de la meta propuesta, es decir noventa y dos (92) paquetes, se había superado en el mes de junio de 2023. Lo anterior se puede verificar en los catálogos donde se encuentran las signaturas ya incorporadas, link:
https://www.unicauca.edu.co/vicerrectoria-academica/facultad-de-ciencias-humanas-y-sociales/archivo-historico/ ingresar al botón “Archivo Histórico Portal Web Anterior”
 Se remiten fotografías aleatorias de cajas en los archivos llamados:
- H1 ACCION 1 T1 MUESTRA CAJA QUE CONTIENEN LAS SIGNATURAS CATALOGADAS FONDO UNICAUCA ENERO-JULIO 2024
- H1 ACCION 1 T1 MUESTRA CAJA QUE CONTIENEN LAS SIGNATURAS CATALOGADAS SECCION REPÚBLICA ENERO-JULIO 2024
- H1 ACCION 1 T1 PAQUETES EMBALADOS DEL ARCHIVO INACTIVO ENERO-JULIO 2024</t>
  </si>
  <si>
    <t>Se determina el cumplimiento del 100% de la actividad propuesta. Teniendo en cuenta que la Institución fijó una meta de catalogación del 30% del total de la documentación perteneciente al fondo "Archivo Inactivo".
Se resalta que la Universidad, pese a que el hallazgo se da como superado, al cumplir con la meta establecida, continuará con la catalogación del total de la documentación perteneciente al fondo Archivo Inactivo.</t>
  </si>
  <si>
    <t>Se observó que la Universidad actualmente aplica los instrumentos de descripción necesarios para catalogar y controlar las unidades documentales del fondo "archivo inactivo", y en la medida de las posibilidades, continuará aplicandolos</t>
  </si>
  <si>
    <t>Aplicar los instrumentos de descripción necesarios para catálogar y controlar las unidades documentales del fondo "Carlos Albán"</t>
  </si>
  <si>
    <t>Catalogación del fondo Carlos Albán</t>
  </si>
  <si>
    <t>Catálogo de la documentación perteneciente al fondo "Carlos Albán"</t>
  </si>
  <si>
    <t>Dirección Archivo Histórico, Oficina de las TIC´s y Centro de Gestión de las Comunicaciones de la Universidad del Cauca</t>
  </si>
  <si>
    <t>Registros de catalogación con la información indexada.</t>
  </si>
  <si>
    <t>Durante el periodo comprendido entre julio y diciembre de 2023, se actualizaron mil veintisiete (1027) signaturas.
El fondo fue clasificado en su totalidad y lo conforman cuatro mil setecientos cincuenta y dos (4752) documentos.
Ver archivos :
H1 ACCION 2 M1 TOTAL FICHAS DOCUMENTOS CARLOS ALBAN</t>
  </si>
  <si>
    <t>La Institución continuó con la actualización y completó las 4657 signaturas (Informe N° 12 AGN)</t>
  </si>
  <si>
    <t>La Uniersidad cuenta con el Catálogo de la documentación perteneciente al fondo "Carlos Albán"</t>
  </si>
  <si>
    <t>Digitalización del catálogo del fondo Carlos Albán</t>
  </si>
  <si>
    <t>Catálogo en físico y en digital del fondo Carlos Albán</t>
  </si>
  <si>
    <t>Catálogo del fondo Carlos Albán impreso disponible para consulta. 
Publicación en la página web de la Universidad del Cauca del catálogo del fondo Carlos Albán</t>
  </si>
  <si>
    <t>30/07/204</t>
  </si>
  <si>
    <t xml:space="preserve">Durante el periodo comprendido entre julio y diciembre de 2023, se actualizaron mil veintisiete (1027) signaturas,
El fondo fue clasificado en su totalidad y lo conforman cuatro mil setecientos cincuenta y dos (4752) documentos.
Ver archivo y link con el catálogo publicado en la página web de la Universidad del Cauca:
H1 ACCION 2 M1 TOTAL FICHAS DOCUMENTOS CARLOS ALBAN
https://portal.unicauca.edu.co/versionP/sites/default/files/files/Archivo_historico/FONDO_GENERAL_CARLOS_ALBAN_ESTUPI%C3%91AN.pdf </t>
  </si>
  <si>
    <t>La Institución cuenta con el Catálogo en físico y en digital del fondo Carlos Albán</t>
  </si>
  <si>
    <t>Conservación de Documentos. No se cumple con los lineamientos definidos en el Acuerdo No. 049 del 5 de mayo del 2000.  Acuerdo No. 050 de 5 de mayo del 2000 y el acuerdo N° 005 del 15 de octubre de 2014, para conservación documental</t>
  </si>
  <si>
    <t>Controlar los niveles de temperatura y humedad relativa dentro de los rangos establecidos para conservación de documentación histórica</t>
  </si>
  <si>
    <t>Aplicar el proceso de conservación y presevación a la documentación del "Archivo Inactivo</t>
  </si>
  <si>
    <t>Adquisición de herramientas tecnológicas que permitan medir la temperatura y humendad relativa de los depositos, asi como el material de archivo necesario para la proteccion del acervo documental.</t>
  </si>
  <si>
    <t>Dirección Archivo Histórico Centro de Investigaciones Históricas José Ma. Arboleda Llorente y funcionarios encargados.</t>
  </si>
  <si>
    <t>Documentos que soportan el trámite para la adquisición de herramientas tecnológicas que permitirán la medición de la temperatura y humendad relativa de los depósitos</t>
  </si>
  <si>
    <r>
      <t>De acuerdo a la solicitud realizada en la visita de septiembre de 2016 al Archivo Histórico José Maria Llorente en la que se solicitaba la instalación de más desumidificadores en los depósitos donde se guarda la documentación, el  día 10 de septiembre de 2019 se instalaron  ocho (8) deshumificadores de 350 m</t>
    </r>
    <r>
      <rPr>
        <vertAlign val="superscript"/>
        <sz val="10"/>
        <color rgb="FF000000"/>
        <rFont val="Arial"/>
        <family val="2"/>
      </rPr>
      <t>3</t>
    </r>
    <r>
      <rPr>
        <sz val="10"/>
        <color rgb="FF000000"/>
        <rFont val="Arial"/>
        <family val="2"/>
      </rPr>
      <t xml:space="preserve"> y seis (6) deshumificadores de 180 m</t>
    </r>
    <r>
      <rPr>
        <vertAlign val="superscript"/>
        <sz val="10"/>
        <color rgb="FF000000"/>
        <rFont val="Arial"/>
        <family val="2"/>
      </rPr>
      <t>3</t>
    </r>
    <r>
      <rPr>
        <sz val="10"/>
        <color rgb="FF000000"/>
        <rFont val="Arial"/>
        <family val="2"/>
      </rPr>
      <t xml:space="preserve">  para controlar la humedad de los depósitos donde resposan los documentos del Archivo Historico.  Avance 100%
Se remite el Archivo en Excel que da cuenta de la medición de temperatura y humedad en el periodo de enero a julio de 2024:
H2 ACCIÓN 3 M3 TEMPERATURA Y HUMEDAD ENERO - JULIO 2024</t>
    </r>
  </si>
  <si>
    <t>Al momento de la visita:
Los deshumificadores estan en uso en cada una de las salas del Archivo</t>
  </si>
  <si>
    <t>Actualmente la Universidad del Cauca - Archivo Histórico, cuenta con las herramientas de medición que permiten mantener el controlar de los niveles de temperatura y humedad relativa dentro de los rangos establecidos para conservación de documentación histórica.</t>
  </si>
  <si>
    <t>Medir el porcentaje de humedad relativa y grados de temperatura en las salas de almacenaje de los documentos del Centro de Investigaciones Históricas José María Arboleda Llorente</t>
  </si>
  <si>
    <t>Adquisición de  dataloggers para medir la humedad relativa  y la  temperatura en las salas de almacenaje de los documentos del Centro de Investigaciones Históricas José María Arboleda Llorente</t>
  </si>
  <si>
    <t>Encargados de los depósitos de la documentación histórica. Oficina de Planeación Universidad del Cauca</t>
  </si>
  <si>
    <t>Registros de la medición de la temperatura y humedad relativa en cada uno de los depósitos que resguardan la documentación histórica.</t>
  </si>
  <si>
    <t xml:space="preserve">
  Desde la instalación de los dataloggers se han realizado mediciones diarias con intervalos de dos horas en cada depósito del archivo
Se remite el Archivo en Excel que da cuenta de la medición de temperatura y humedad en el periodo de enero a julio de 2024:
H2 ACCIÓN 3 M3 TEMPERATURA Y HUMEDAD ENERO - JULIO 2024</t>
  </si>
  <si>
    <t>Al momento de la visita:
Los dataloggers estan en servicio en cada una de las salas.</t>
  </si>
  <si>
    <t>Continuar con el control de los factores ambientales relativos a la humedad en las salas de almacenaje de los documentos del Centro de Investigaciones Históricas José María Arboleda Llorente</t>
  </si>
  <si>
    <t>Adquisición de deshumificadores adicionales para  estabilizar la humedad ambiental en las salas de almacenaje de los documentos del Centro de Investigaciones Históricas José María Arboleda Llorente</t>
  </si>
  <si>
    <t>Temperatura y humedad dentro de los rangos estimados para conservación de documentación histórica.</t>
  </si>
  <si>
    <t>Diariamente (cada dos horas) se realizó la medición de temperatura y humedad relativa, a los depósitos que contienen documentación Histórica.
En los valores de dichas mediciones y las gráficas derivadas de las mismas, se observó que  los depósitos presentaron rangos estables de temperatura y humedad relativa dentro de los parámetros establecidos en el acuerdo 049 de 2000 del AGN
Avance 100%
Se remite el Archivo en Excel que da cuenta de la medición de temperatura y humedad en el periodo de enero a julio de 2024:
H2 ACCIÓN 3 M3 TEMPERATURA Y HUMEDAD ENERO - JULIO 2024</t>
  </si>
  <si>
    <t>Acción Mejoradora cumplida desde la vigencia 2020, en el seguimiento a 30/06/2023 se evidenciaron los reportes diarios de las mediciones con los que se observan las gráficas derivadas de las mismas.</t>
  </si>
  <si>
    <t>Construcción del proceso de consulta para que los usuarios puedan acceder a los documentos digitalizados. Digitalizar los catálogos de los fondos Julio Arboleda, Tomás Cipriano de Mosquera y Biblioteca de Misiones y publicarlos en la página web de la Universidad del Cauca.</t>
  </si>
  <si>
    <t>Digitalizar y publicar los católogos de los  Fondos documentales Tomás Cipriano de Mosquera, Julio Arboleda y                                                                                                                                                                                                                                                  Misiones.</t>
  </si>
  <si>
    <t>Catálogos de los fondos Tomas Cipriano de Mosquera, Julio Arboleda y                                                                                                                                                                                                                                                   Misiones digitalizados y publicados en la página web de la Universidad del Cauca</t>
  </si>
  <si>
    <t>Funcionarios y Dirección Archivo Histórico, Oficina de las TIC´s y Centro de Gestión de las Comunicaciones de la Universidad del Cauca</t>
  </si>
  <si>
    <t>Catálogos publicados en la página web de la Universidad</t>
  </si>
  <si>
    <t xml:space="preserve">
De 3777 páginas que componen las páginas de los catálogos de los fondos Mosquera, Arboleda y Misiones se ha publicado el total de las mismas en el portal web Institucional así:
Fondo Sergio Arboleda Pombo: dos (2) Tomos
Fondo Misiones: Un (1) Tomo.
FondoTomás Cirpiano de Mosquera: Veintidós (22) Tomos.
Avance 100%
Ver link: http://www.unicauca.edu.co/versionP/Servicios/Archivo%20Hist%C3%B3rico/Cat%C3%A1logo</t>
  </si>
  <si>
    <t xml:space="preserve">Con oficio 8.7.13-92.8/16, del 12/09/2022, dirigido a la División de Tecnologías de la Información y las Comunicaciones, se solicita por la directora del Archivo Histórico la actualización de la página web de Archivo en lo relacionado con los catálogos: Fondo Antiguo Archivo Central del Cauca, Catálogo de República y Fondo General Carlos Albán Estudian.
Igualmente, solicita conservar la información de los demás documentos disponibles en la página
</t>
  </si>
  <si>
    <t>Los Catálogos de los fondos Tomas Cipriano de Mosquera, Julio Arboleda y                                                                                                                                                                                                                                                   Misiones digitalizados estan publicados en el portal en Institucional.</t>
  </si>
  <si>
    <t>Construcción del protocolo de consulta de los documentos digitalizados</t>
  </si>
  <si>
    <t>Procedimiento de consulta para acceso de los usuarios a los documentos históricos digitalizados documentado.</t>
  </si>
  <si>
    <t>Dirección Centro de Investigaciones José Ma Arboleda Llorente, Área de gestión Documental y Centro de Gestión de la calidad.</t>
  </si>
  <si>
    <t>Actas de reunión para la construcción del procedimiento de consulta por parte de los usuarios para los documentos digitalizados.
Avances de la construcción del documento para consulta de imágenes digitales del Centro de Investigaciones Históricas José María Arboleda LLorente.</t>
  </si>
  <si>
    <t>La Institución cuenta con el Protocolo para acceder a imágenes digitalizadas Centro de Investigaciones Historicas "José María Arboleda Llorente", con código PM-FO-4.5-PT-1. publicado en el portal Web Institucional -Banner "programa Lvmen"
Avance 100%
Anexo Denominado: "H3 ACCIÓN 4 M2 PROTOCOLO"
Se remiten para el seguimiento del periodo de enero a julio de 2024 las siguientes archivos en pdf como evidencias:
- H 3 ACCION 4 M2 Y H4 ACCION 5 M1 CORREO SOLICITUD DOCUMENTOS DIGITALIZADOS 1
- H 3 ACCION 4 M2 Y H4 ACCION 5 M1 CORREO SOLICITUD DOCUMENTOS DIGITALIZADOS 2
- H4 ACCION 4 M1 SIG ACC 7422 Civil III 19h
- H4 ACCION 4 M1 NOTARIA 1856 FF 821V A 826R</t>
  </si>
  <si>
    <t>La Institución cuenta con el Protocolo para acceder a imágenes digitalizadas Centro de Investigaciones Históricas "José María Arboleda Llorente"</t>
  </si>
  <si>
    <t>Procesos de Microfilmación y Digitalización. No se realiza proceso de foliación y sellado de documentos, según se observó en algunas imágenes digitalizadas, actividad que debe ser previa a la captura de imágenes, a fin de garantizar la seguridad de los documentos</t>
  </si>
  <si>
    <t xml:space="preserve">Realizar las actividades de  foliación y sellado de documentos al proceso de digitalización y/o microfilmación a los imágenes de los documentos. </t>
  </si>
  <si>
    <t>Foliar y sellar las imágenes digitalizadas</t>
  </si>
  <si>
    <t>Imágenes digitalizadas foliadas y selladas</t>
  </si>
  <si>
    <t>Dirección Centro de Investigaciones José Ma Arboleda Llorente y funcionarios responsables del proceso de digitalización</t>
  </si>
  <si>
    <t>Reporte en el que se pueda verificar las imágenes foliadas y selladas de los documentos digitalizados.</t>
  </si>
  <si>
    <t>Al momento de la visita se evidenció el sellado y foliación de las imágenes digitalizadas en el marco del convenio entre la Fundación Neogranadina y la Universidad del Cauca.
Teniendo en cuenta que el archivo digital pesa 170 gb aproximadamante, se determinó enviar una muestra aleatoria
Ver carpeta denominada "H 4 ACCIÓN 5 M1"
En el portal web Institucional, catálogo del fondo Antiguo Archivo Central del Cauca se puede verificar los documentos que cuentan con "copia digital":
http://www.unicauca.edu.co/versionP/Servicios/Archivo%20Hist%C3%B3rico/Cat%C3%A1logo
En reunión conjunta con el AGN, este requirió a la Universidad informar en el siguiente informe de avance del PMA, lo sucedido con el convenio con la Fundación Neogranadina y la adquisición del escáner. Igualmente, se debe informar el volumen de la información digitalizada con respecto al universo de los documentos históricos, identificando cada fondo, sin enviar los pantallazos que el AGN ya posee.
El AGN indicó, que no existe obligatoriedad de digitalizar todas sus imágenes. Sin embargo, lo recomendó para consulta y salvaguarda, precaviendo el deterioro por la manipulación y afectación por factores externos de los documentos históricos.
Por lo anterior, se envía un informe detallado sobre las condiciones en que la Fundación Neogranadina digitalizó las imágenes del Archivo Hstórico de la Universidad del Cauca, en el cual se explica que del universo total de los documento del Fondo Antiguo Archivo Cental del Cauca se ha digitalizado un 5%; en dicho documento también se explica el estado en que se encuentra el proceso de digitalización adicional a este PMA
Ver PDF titulado "H 4 ACCIÓN 5 M1 INFORME NEOGRANADINA"
Se remiten para el seguimiento del periodo de enero a julio de 2024 las siguientes archivos en pdf como evidencias:
- H 3 ACCION 4 M2 Y H4 ACCION 5 M1 CORREO SOLICITUD DOCUMENTOS DIGITALIZADOS 1
- H 3 ACCION 4 M2 Y H4 ACCION 5 M1 CORREO SOLICITUD DOCUMENTOS DIGITALIZADOS 2
- H4 ACCION 4 M1 SIG ACC 7422 Civil III 19h
- H4 ACCION 4 M1 NOTARIA 1856 FF 821V A 826R</t>
  </si>
  <si>
    <t xml:space="preserve">Al momento de la visita se evidenció el sellado y foliación de las imágenes digitalizadas en el marco del convenio entre la Fundación Neogranadina y la Universidad del Cauca.
Teniendo en cuenta que el archivo digital pesa 170 gb aproximadamante, se determinó enviar al AGN una muestra aleatoria (Ver carpeta denominada "H 4 ACCIÓN 5 M1")
</t>
  </si>
  <si>
    <t>La Universidad cuenta con Imágenes digitalizadas, foliadas y selladas.</t>
  </si>
  <si>
    <t xml:space="preserve">Vicerrectoría Administrativa - División de Gestión Financiera- Área de Aquisiciones e Inventarios </t>
  </si>
  <si>
    <t>Mabel Alexandra Urbano</t>
  </si>
  <si>
    <t xml:space="preserve"> EVALUACIÓN ANUAL DEL CONTROL INTERNO CONTABLE INFORMES 2.6-52.18/09 DEL 2019, 2.6-52.18/11 DEL 2020, 2.6-52.18/07 Y 2.6-52.18/08 DEL 2021</t>
  </si>
  <si>
    <t>23/08/2022</t>
  </si>
  <si>
    <t>En reformulación</t>
  </si>
  <si>
    <t>Las políticas contables existentes aplicables al desarrollo del proceso contable están definidas de manera general que desfavorece la aplicación integral.</t>
  </si>
  <si>
    <t>No se han realizado las actualizaciones conforme a las modificaciones de la norma general aplicable a las entidades de gobierno, especificamente a las IES.</t>
  </si>
  <si>
    <t>Manual de Políticas contables actualizado</t>
  </si>
  <si>
    <t>Revisar y actualizar el Acuerdo Superior 012 de 2018 con la normatividad vigente de la Contaduría General de la Nación</t>
  </si>
  <si>
    <t>Acuerdo de políticas contables actualizado</t>
  </si>
  <si>
    <t>Profesional Especializado - Contador-Tesorero - Adquisiciones e Inventarios
Jefe Financiero y Admin - UniSalud
Técnico Admin - Vicerrectoría Administrativa
Profesional designado Talento Humano</t>
  </si>
  <si>
    <t>LINK:
http://www.unicauca.edu.co/versionP/documentos/acuerdos/acuerdo-superior-084-de-2021-actualiza-yo-se-establecen-las-pol%C3%ADticas-contables-de-la-universidad-de</t>
  </si>
  <si>
    <t xml:space="preserve">La División de Gestión Financiera con oficio 5.2-52.2/0068 del 13/06/2022 remitió respuesta de la aprobación del acuerdo 084 del 2021, de actualización a las políticas contables.
OCI: 
Se evidencia la publicación del Acuerdo 084 del 2021, actualización de políticas contables de la Universidad del Cauca, en el que se observan algunos ajustes, por lo que el avance pasa del 50% al 100%. </t>
  </si>
  <si>
    <t xml:space="preserve">La actividad presenta efectividad del 93%, por: 
1. Promedio eficacia y eficiencia 100%: La actividad se cumplió en 100%, dentro del tiempo programado. 
2. Gestión del 100%:  Las políticas contables se actualizaron conforme la normativa de la Contaduría General de la Nación- Resolución 533 del 2015. 
3. Impacto del 80%: Se están actualizando los procedimientos contables, de acuerdo con las políticas contables del Acuerdo 084 del 2021. </t>
  </si>
  <si>
    <t>No se detallaron algunas políticas contables por la complejidad del proceso</t>
  </si>
  <si>
    <t>Políticas Contables Opertivas</t>
  </si>
  <si>
    <t xml:space="preserve">Definir las políticas contables a través de conceptos que permitan su aplicación </t>
  </si>
  <si>
    <t>Políticas Contables  con términos aplicables en la operación</t>
  </si>
  <si>
    <t xml:space="preserve">Con oficio 5.2-52.2/011 del 26/12/2023 la División de Gestión Financiera remitió como evidencia el Oficio 5.2-52.2/0009 del 22 de diciembre de 2023. </t>
  </si>
  <si>
    <t>2023- 2: En el Oficio 5.2-52.2/0009 del 22 de diciembre de 2023 la División de Gestión Financiera refiere que las políticas Contables se desarrollan a través de Actos administrativos, procedimientos e instructivos, para lo que la OCI revisó algunos de estos y verificó su aplicación. 
Por lo anterior se otorga un avance del 100%, sin embargo, debido a que la evaluación de Control interno contable se realiza anualmente, la aplicación de las políticas continuará siendo objeto de verificación.</t>
  </si>
  <si>
    <t xml:space="preserve">La efectividad será medida cuando la actividad supere el 90% de avance. </t>
  </si>
  <si>
    <t>Los procedimientos existentes no reflejan los lineamientos de las políticas, son insuficientes y presentan debilidades para guiar la operación y la confrontación de información, análisis y depuración de cuentas que coadyuven al mejoramiento y sostenibilidad de la calidad de la información</t>
  </si>
  <si>
    <t>Al no tener algunas políticas contables detalladas, imposibilita la implementación de los procedimientos como control a la política contable.</t>
  </si>
  <si>
    <t>Procedimientos ajustados a las políticas contables actualizadas</t>
  </si>
  <si>
    <t>Actualizar e implementar los procedimientos y controles al cumplimiento de las Políticas Contables internas</t>
  </si>
  <si>
    <t>Procedimientos ajustados e implementados</t>
  </si>
  <si>
    <t>Profesional Especializado - Contador
Jefe Financiero y Administrativo - Unidad de Salud
Técnico Administrativo - Vicerrectoría Administrativa
Profesional Especializado - Área de Adquisiciones e Inventarios
Profesional Especializado - Tesorero
Profesional designado Talento Humano</t>
  </si>
  <si>
    <t xml:space="preserve">Con oficio 5.2-52.2/011 del 26/12/2023 la División de Gestión Financiera remitió los procedimientos ajustados y publicados, así: 
2.1.       PA-GA 5.2-PR-1 Conciliaciones Bancarias y Saldos de Tesorería y Contabilidad Versión 7 del 10-Nov-2023
2.2.       PA-GA-5.2-PR-6 Egresos Presupuestales Versión 7 del 30-Oct-2023
2.3.       PA-GA-5.2-PR-13 Reconocimiento, Registro y Control del Recaudo de la Estampilla Universidad del Cauca Versión 2 del 11-Oct-2023
2.4.       PA-GA 5.2-PR-12 - Preparación, aprobación, validación y publicación de Estados Financieros e informes financieros y contables Versión 5 del 20-Sep-2023 </t>
  </si>
  <si>
    <t>2023- 2: Se verificó la actualización e implementación de los procedimientos remitidos, por lo que el avance pasó del 90% al 100%. sin embargo, debido a que la evaluación de Control interno contable se realiza anualmente, la aplicación de las políticas continuará siendo objeto de verificación.</t>
  </si>
  <si>
    <t>La actividad presenta efectividad del 53%, por: 
1. Promedio eficacia y eficiencia 80%: La actividad alcanzó un 90% de avance, con incumplimiento del tiempo programado.
2. Gestión del 50%: Se observó que la División de Gestión Financiera se encuentra actualizando los procedimientos de acuerdo a los cambios de las políticas, además, están evaluando la pertinencia de elaborar una herramienta que contenga todos los procedimientos, para facilitar su aplicación y debidas actualizaciones. 
3. Impacto del 30%: La actualización de los procedimientos se realizó de manera parcial.</t>
  </si>
  <si>
    <t>Algunas normas internas están desactualizadas de las Políticas Contables y los conceptos normativos se conocen de manera parcial por sus ejecutores.</t>
  </si>
  <si>
    <t xml:space="preserve">El PM no la presenta </t>
  </si>
  <si>
    <t>Actualización de la norma interna</t>
  </si>
  <si>
    <t>Actualización del Acuerdo Superior 043 de 2002 sobre clasificación, administración y custodia de los bienes.</t>
  </si>
  <si>
    <t>Norma actualizada</t>
  </si>
  <si>
    <t>El Área de Adquisiciones e Inventarios con oficio 5.4.5-92/3201 del 14/11/2023 remitió las siguientes evidencias: 
1. Acta reunión clasificacion y administración firmada
2. Acta de reunión General Planes de mejoramiento 28 de septiembre firmada
3. Acta reunión socialización 26 de octubre de 2023 Acuerdo 043
4. Acta firmada reuniones acuerdo 043
5. Documento Derogación Acuerdo 043
6. Oficio vadm derogación Acuerdo Superior 043 de 2002
7. PROYECTO NUEVO ACUERDO- DEROGACIO 043 DE 2002- AREA DE ADQUISICIONES</t>
  </si>
  <si>
    <t xml:space="preserve"> 2023-2: De la revisión al proyecto del nuevo acuerdo que modifica el Acuerdo 043 del 2002, se concluye que éste tiene un avance del 80%, y en sesión del Comité de Sostenibilidad Contable del 15/12/2023, se dejó el compromiso de que la Oficina Jurídica y el Área de Adquisiciones se reúnan el 18/12/2023 para aclarar las observaciones de la Oficina Jurídica, y entregar el proyecto al Vicerrector Administrativo, quien se comprometió a hacer entrega de éste proyecto al Representante legal de la Institución, para que se programe la presentación al Consejo Superior para su aprobación. 
Al respecto, la OCI comunicó que incrementará el avance cuando se evidencie la radicación del proyecto del Acuerdo ante el Representante Legal. </t>
  </si>
  <si>
    <t>Sin evidenciarse técnicas o mecanismos que reflejen la circulación de la información hacia el área contable 
y para la verificación de la totalidad de los
registros contables.</t>
  </si>
  <si>
    <t>No se ha establecido un mecanismo para la circularización de la información contable.</t>
  </si>
  <si>
    <t>Instrumento para reflejar la  circulación de la información hacia el área contable</t>
  </si>
  <si>
    <t>Elaborar un instrumento que  refleje la circulación de la información hacia el área contable</t>
  </si>
  <si>
    <t>Instrumento elaborado</t>
  </si>
  <si>
    <t>Profesional Especializado - Contador -Tesorero -Adquisiciones e Inventarios
Jefe Financiero y Adm. - UniSalud
Técnico Admin. - Vicerrectoría Administrativa</t>
  </si>
  <si>
    <t>Matriz de Flujo de Información Financiera y Contable V1, del 02/05/2022.</t>
  </si>
  <si>
    <r>
      <t xml:space="preserve">La División de Gestión Financiera con oficio 5.2-52.2/0068 del 13/06/2022 Adjunta instrumento PA-GA-5-OD-20 Matriz de Flujo de Información Financiera y Contable V1, del 02/05/2022.
</t>
    </r>
    <r>
      <rPr>
        <b/>
        <sz val="11"/>
        <color rgb="FF000000"/>
        <rFont val="Arial"/>
        <family val="2"/>
      </rPr>
      <t xml:space="preserve">OCI: </t>
    </r>
    <r>
      <rPr>
        <sz val="11"/>
        <color rgb="FF000000"/>
        <rFont val="Arial"/>
        <family val="2"/>
      </rPr>
      <t xml:space="preserve">
En la página Web Institucional se evidencia la publicación de la matriz de flujo de información Financiera, en la que se integra la información de la Unidad 2, por lo que </t>
    </r>
    <r>
      <rPr>
        <b/>
        <sz val="11"/>
        <color rgb="FF000000"/>
        <rFont val="Arial"/>
        <family val="2"/>
      </rPr>
      <t xml:space="preserve">el avance pasa del 80% al 100%. </t>
    </r>
    <r>
      <rPr>
        <sz val="11"/>
        <color rgb="FF000000"/>
        <rFont val="Arial"/>
        <family val="2"/>
      </rPr>
      <t xml:space="preserve">
</t>
    </r>
  </si>
  <si>
    <t xml:space="preserve">La actividad presenta efectividad del 87%, por: 
1. Promedio eficacia y eficiencia 100%: La actividad se cumplió en 100%, dentro del tiempo programado. 
2. Gestión del 100%:  La matriz contiene la información contable que ingresa y sale de las diferentes dependencias de la Universidad del Cauca. 
3. Impacto del 60%: La matriz tiene versión 1 del 02/05/2022, sin embargo debe alimentarse constantemente. </t>
  </si>
  <si>
    <t xml:space="preserve">Se encuentran parcialmente identificadas las áreas proveedoras de información contable.
</t>
  </si>
  <si>
    <t>No se ha establecido un mecanismo para identificar las áreas proveedoras de información contable.</t>
  </si>
  <si>
    <t>Instrumento para identificar las áreas proveedoras de información contable.</t>
  </si>
  <si>
    <t>Elaborar un instrumento que Identifique las áreas proveedoras de información contable</t>
  </si>
  <si>
    <t>PA-GA-5-OD-20 Matriz de Flujo de Información Financiera y Contable V1, del 02/05/2022.</t>
  </si>
  <si>
    <r>
      <t xml:space="preserve">La División de Gestión Financiera con oficio 5.2-52.2/0068 del 13/06/2022 Adjunta instrumento PA-GA-5-OD-20 Matriz de Flujo de Información Financiera y Contable V1, del 02/05/2022.
</t>
    </r>
    <r>
      <rPr>
        <b/>
        <sz val="11"/>
        <color rgb="FF000000"/>
        <rFont val="Arial"/>
        <family val="2"/>
      </rPr>
      <t xml:space="preserve">OCI: </t>
    </r>
    <r>
      <rPr>
        <sz val="11"/>
        <color rgb="FF000000"/>
        <rFont val="Arial"/>
        <family val="2"/>
      </rPr>
      <t xml:space="preserve">
En la página Web Institucional se evidencia la publicación de la matriz de flujo de información Financiera, en la que se integra la información de la Unidad 2, por lo que </t>
    </r>
    <r>
      <rPr>
        <b/>
        <sz val="11"/>
        <color rgb="FF000000"/>
        <rFont val="Arial"/>
        <family val="2"/>
      </rPr>
      <t xml:space="preserve">el avance pasa del 80% al 100%. </t>
    </r>
  </si>
  <si>
    <t>Sin establecer el mecanismo para el cálculo adecuado de los valores que corresponden al agotamiento y deterioro.</t>
  </si>
  <si>
    <t xml:space="preserve">Los procedimientos de los procesos y subprocesos que deben implementar deterioro no estan ajustados dada la generalidad de la politica. </t>
  </si>
  <si>
    <t xml:space="preserve">Instrumento para cálculo de agotamiento y deterioro </t>
  </si>
  <si>
    <t>Elaboración de un Instrumento para determinar los valores de agotamiento y deterioro</t>
  </si>
  <si>
    <t>Profesional Especializado - Contador- Tesorero -Adquisiciones e Inventarios
Jefe Financiero y Admin. - Unisalud
Técnico Admin. - Vicerrectoría Administrativa
Profesional designado Talento Humano</t>
  </si>
  <si>
    <t xml:space="preserve">*PA-GA-5.4.5-IN-2 Instructivo para cálculo de Deterioro de Activos no Generadores de Efectivo V1.pdf
*PA-GA-5-IN-5 Instructivo para cálculo de Deterioro de Valor de Cuentas por Cobrar V1.
*Acuerdo Superior 084 de 2021 Políticas Contables de la Universidad del Cauca 
</t>
  </si>
  <si>
    <r>
      <t xml:space="preserve">La División de Gestión Financiera con oficio 5.2-52.2/0067 del 09/06/2022, remitió los link que evidencian la publicación de las siguientes herramientas documentadas: 
*PA-GA-5.4.5-IN-2 Instructivo para cálculo de Deterioro de Activos no Generadores de Efectivo V1.pdf
*PA-GA-5-IN-5 Instructivo para cálculo de Deterioro de Valor de Cuentas por Cobrar V1.
*Acuerdo Superior 084 de 2021 Actualiza y/o se establecen las Políticas Contables de la Universidad del Cauca y se deroga el Acuerdo 012 de 2018
</t>
    </r>
    <r>
      <rPr>
        <b/>
        <sz val="11"/>
        <color rgb="FF000000"/>
        <rFont val="Arial"/>
        <family val="2"/>
      </rPr>
      <t xml:space="preserve">Observación OCI: 
</t>
    </r>
    <r>
      <rPr>
        <sz val="11"/>
        <color rgb="FF000000"/>
        <rFont val="Arial"/>
        <family val="2"/>
      </rPr>
      <t xml:space="preserve">
Se verificó que las herramientas elaboradas para el cálculo del deterioro de activos no gereradores de efectivo y del valor de cuentas por cobrar, se formalizaron y publicaron en la página Web Institucional- Programa LVMEN, y el  Acuerdo Superior 084 de políticas contables, en la página web Institucional- Documentos Públicos, Acuerdos. 
Por lo anterior, el</t>
    </r>
    <r>
      <rPr>
        <b/>
        <sz val="11"/>
        <color rgb="FF000000"/>
        <rFont val="Arial"/>
        <family val="2"/>
      </rPr>
      <t xml:space="preserve"> avance pasa del 80% al 100%. </t>
    </r>
  </si>
  <si>
    <t xml:space="preserve">La actividad presenta efectividad del 60%, por: 
1. Promedio eficacia y eficiencia: La actividad se cumplió en 100% en el tiempo programado.
2. Gestión del 80%: Se elaboraro las herramientas para el cálculo del deterioro, sin embargo, no fue posible comprender el instructivo para el cálculo del deterioro de cuentas por cobrar, para lo que se solicitó su ajuste. 
3. Impacto del 0%: En el seguimiento a 30/12/2022 la OCI solicitó que se realice el ajuste de acuerdo al procedimiento para elaboración y control de documentos Institucionales, sin evidencia del ajuste. </t>
  </si>
  <si>
    <t>La información financiera se presenta en estructuras técnicas que dificultan la comprensión de todos los usuarios, se acompañan los indicadores mínimos para interpretar y analizar los resultados económicos como insumo para la toma de decisiones.</t>
  </si>
  <si>
    <t xml:space="preserve">La  cantidad de informacion y operaciones reflejadas en la estructura, nombres y codificacion, no se interpreta de forma integral por todos los usuarios de la informacion. </t>
  </si>
  <si>
    <t xml:space="preserve">Instrumento ejecutivo para la presentacion financiera anual </t>
  </si>
  <si>
    <t>Crear un instrumento   ejecutivo que permita  presentar de la Información Financiera,  comprensible para la toma de decisiones.</t>
  </si>
  <si>
    <t xml:space="preserve">Instrumento aprobado </t>
  </si>
  <si>
    <t>Profesional Especializado - Contador
Jefe Financiero y Administrativo</t>
  </si>
  <si>
    <t>Con Oficio 5.2-52.2/011 del 26/12/2023, la División de Gestión Financiero remitió: 
1. Capacitación herramientas presentación informes Sector Público.
2. Link y horario - Herramientas para presentación de informes en el sector público.
3. Material Capacitación Herramientas presentación de informes en el sector público.</t>
  </si>
  <si>
    <t xml:space="preserve">2023-2: Los archivos enviados por la División de Gestión Financiera evidencian la capacitación sobre la presentación de informes, sin embargo, no se observa el informe que refiere la actividad, por lo que ésta permanece con 0% de avance. </t>
  </si>
  <si>
    <t>Actividad no cumple con los requisitos mínimos para evaluar efectividad.</t>
  </si>
  <si>
    <t>No se evidencia la administración de los riesgos contables</t>
  </si>
  <si>
    <t>No se establecen de manera integral los riesgos, por lo tanto no se le da el alcance para que cada dependencia los mitigue.</t>
  </si>
  <si>
    <t>Matriz de riesgos contable</t>
  </si>
  <si>
    <t>Identificar los riesgos de indole contable</t>
  </si>
  <si>
    <t>Riesgos contables identificados</t>
  </si>
  <si>
    <t>Matriz de Riesgos Institucionales.</t>
  </si>
  <si>
    <t xml:space="preserve">En la reunión de seguimiento realizada el 13/12/2022 en las instalaciones de la División de Gestión Financiera, se evidenció que la matriz de Riesgos Institucionales, contempla los riesgos contables, por lo que el avance pasó del 70% al 100%. </t>
  </si>
  <si>
    <t xml:space="preserve">La actividad presenta efectividad del 76%, por: 
1. Promedio eficacia y eficiencia: La actividad se cumplió en 100%, fuera del tiempo programado.
2. Gestión del 90%: Se evidenció la identificación e inclusión de los riesgos contables dentro de la matriz de riesgos Institucional.
3. Impacto del 70%: Se presentó evidencias del seguimiento a algunos de los controles establecidos para los riesgos contables, se encuentran trabajando en los demás. Ej: la Resolución de Legalización de avances. </t>
  </si>
  <si>
    <t>No se tienen debidamente identificados los productos del proceso contable que deben suministrarse a las demás áreas de la entidad y a los usuarios externos.</t>
  </si>
  <si>
    <t xml:space="preserve">El proceso de Gestion Administrativa que contiene el subproceso gestión financiera no identifica claramente los productos del proceso contable  </t>
  </si>
  <si>
    <t>Ajustar la caracterización del proceso Gestión Admtiva, identificando claramente la entrada y salida del proceso contable.</t>
  </si>
  <si>
    <t>Realizar el ajuste a la caracterización del proceso Gestión Administrativa, identificando claramente los insumos de entrada y productos, especialmente los contables</t>
  </si>
  <si>
    <t xml:space="preserve">Caracterización ajustada </t>
  </si>
  <si>
    <t>No se evalúa la efectividad debido a que éstos hallazgos se cerraron en seguimientos anteriores al inicio de la valoración de efectividad por la OCI.</t>
  </si>
  <si>
    <t>El proceso contable  no opera en un ambiente de sistema  integrado de información y no  funciona adecuadamente.</t>
  </si>
  <si>
    <t>El proceso contable no opera con visión sistemica integral , por cuanto los sistemas SRF-SRH y Finanzas no operan totalmente integrados.</t>
  </si>
  <si>
    <t>Integrar los sistemas SRF-SRH Y finanzas Plus.</t>
  </si>
  <si>
    <t>Integrar  el sistema SRF con el sistema Finanzas Plus</t>
  </si>
  <si>
    <t>Sistemas Integrados</t>
  </si>
  <si>
    <t>Sin evidencia de la toma de inventario físico unidad 2 - Unidad de Salud</t>
  </si>
  <si>
    <t>La Unidad no cuenta con un software de inventarios</t>
  </si>
  <si>
    <t>Toma de inventarios de bienes y de medicamanetos</t>
  </si>
  <si>
    <t>Registro de inventarios de bienes y de medicamentos Unidad de Salud</t>
  </si>
  <si>
    <t>Registro de inventarios</t>
  </si>
  <si>
    <t xml:space="preserve">
Jefe Financiero y Administrativo
</t>
  </si>
  <si>
    <t>1.contrato de Integración software de Inventario Farmacia 10.2.31.5/082. 
2. Informes de capacitación y soporte técnico. 
3. Acta de reunión con proveedores
4. Registro Inventario de Farmacia SEP-30-01-OCT 2021-final
5. Acta Conteo Físico de los medicamentos que hacen parte del inventario de farmacia.</t>
  </si>
  <si>
    <r>
      <t xml:space="preserve">Mediante correo electrónico del día 26/01/2022, la Unidad de Salud remitió la evidencia relacionada con la toma del inventario físico de la Unidad. 
Observación OCI: 
Se valida la evidencia que da cumplimiento a la Unidad de medida del Registro de Inventario de la Unidad 2. </t>
    </r>
    <r>
      <rPr>
        <b/>
        <sz val="11"/>
        <color rgb="FF000000"/>
        <rFont val="Arial"/>
        <family val="2"/>
      </rPr>
      <t>Por lo que se asigna un avance del 100%.</t>
    </r>
  </si>
  <si>
    <t xml:space="preserve">La actividad presenta efectividad del 70%, por: 
1. Promedio eficacia y eficiencia: La actividad se cumplió en 100%, en el tiempo programado.
2. Gestión del 50%: Se realizó la toma del inventario físico de farmacia en la vigencia 2023, sin evidenciar la toma del inventario en la vigencia 2022.
3. Impacto del 60%: se evidenció la toma del inventario de los medicamentos de la Unidad 2 en la vigencia 2023, el registro del faltante encontrado, y el registro en el sistema financiero, evidenciado en el balance de prueba. </t>
  </si>
  <si>
    <t>Sin evidencia de la toma de inventario físico unidad 1 - Gestión General</t>
  </si>
  <si>
    <t xml:space="preserve">Realizar la verificación de los bienes institucionales </t>
  </si>
  <si>
    <t>Realizar la toma física del inventario, mediante el proceso de marcación con tecnología vigente</t>
  </si>
  <si>
    <t>lista de bienes identificados</t>
  </si>
  <si>
    <t>Profesional Especializado  Área de Adquisiciones e Inventarios</t>
  </si>
  <si>
    <t>El Área de Adquisiciones e Inventarios con oficio 5.4.5-92/3385 del 23/11/2023 remitió las siguientes evidencias: 
1. Informe gestión de inventarios.
2. Acta Inventario Facultad de Artes.
3. Acta inventario almacen general
4. Acta de entrega aplicativo de Control de Recursos Físicos
5. Correo de Universidad del Cauca - CREACION USUARIO SRF - DIVISION DE LA GESTION DE LA CULTURA
6. Entrada SRF bienes Históricos y Culturales
7. Salida SRF bienes Históricos y Culturales</t>
  </si>
  <si>
    <t xml:space="preserve">2023: La OCI evidencia las gestiones realizadas por el Área de adquisiciones e inventarios para la toma del inventario general de la Universidad del Cauca, entre lo que se observó: 
-La marcación de bienes muebles con tecnología vigente, de acuerdo con el proyecto del plan de desarrollo 2018-2022. 
-El avance en la verificación y registro de los bienes muebles a cargo de los servidores públicos. 
-la asignación de un estudiante en modalidad de pasantía, para el desarrollo de un aplicativo que permita la actualización del inventario por parte de los servidores que tengan bienes a su cargo. 
- Gestiones realizadas para la identificación y registro de los bienes históricos y culturales.
Pese a las gestiones realizadas por el área de adquisiciones e inventario, el avance pasa del 70% al 80%, el 20% restante se sujeta a la finalización en la toma del inventario general, y su registro. 
2023-2: Se evidencia avances respecto de la toma de inventario físico, la creación de un aplicativo que permite el control de los mismos, y las gestiones realizadas por el Área de Adquisiciones e Inventarios, sin embargo, aún no se evidencia la toma del inventario en su totalidad, por lo que el avance permanece en 80%. </t>
  </si>
  <si>
    <t>VICERRECTORÍA ACADÉMICA - CENTRO DE POSGRADOS</t>
  </si>
  <si>
    <t>Diego Huamán</t>
  </si>
  <si>
    <t>INFORME 2.6-52.18/06 de 2017 DE EVALUACIÓN AL SISTEMA DE POSGRADOS</t>
  </si>
  <si>
    <t>Ejecución</t>
  </si>
  <si>
    <t>En el seguiminto del primer semestre del 2024 se reformulan algunas actividades como consta en acta de seguimiento 2.6-3.49/04 del 31/07/2024, resultado del seguimiento se concluyó una ejecución del 94%, por lo que se considera el cierre del Plan.</t>
  </si>
  <si>
    <t>Observación/Hallazgo</t>
  </si>
  <si>
    <t>Control Interno</t>
  </si>
  <si>
    <t>Ausencia de normas íntegras, unificadas y armónicas que regulen el funcionamiento académico y administrativo del Sistema de Postgrados en cuanto a: La creación, modificación y supresión de programas Academicos Parámetros  para elaborar y validar los contenidos de las propuestas de creación de   programas o  renovación de registros calificados. Reconocimiento de estímulos por la elaboración de documentos para registro calificado</t>
  </si>
  <si>
    <t>Falta de planeación en la gestión normativa que regula los posgrados de la Universidad</t>
  </si>
  <si>
    <t>Actualizar, unificar y complementar la Reglamentación existente, sobre el funcionamiento académico administrativo de los posgrados de la Universidad</t>
  </si>
  <si>
    <t>Gestionar la elaboración, presentación y aprobación de proyecto de Acuerdo que regule la creación, funcionamiento y supresión de programas de posgrado en la Universidad del Cauca</t>
  </si>
  <si>
    <t>Actos administrativos gestionados</t>
  </si>
  <si>
    <t>Vicerrector Académico - Director Centro de Posgrados</t>
  </si>
  <si>
    <t>Eventual</t>
  </si>
  <si>
    <t>Financiero - Humano</t>
  </si>
  <si>
    <t>Propuesta de acuerdos gestionados</t>
  </si>
  <si>
    <t>Mediante correo electronico del 21/06/2024 el Centro de posgrados reportó:
Copia de PROPUESTA MODIFICACIÓN ACUERDO 022 de 2013 requisito de grado
Copia de PROPUESTA ACUERDO ACADÉMICO REGLAMENTACIÓN PFI REQUISITO DE GRADO
Copia de PROP2-POSGRADOS PLAN COTERMINAL
Copia listados de asistencia a reunión del 4/03/2024 y fotografía de asistencia
Acuerdo Superior 014 de 2024, el cual define las modalidades de trabajo de grado para los programas de posgrado
Se han realizado avances significativos en la proyección de propuestas para la adopción del plan coterminal en la universidad, se proyecta presentarla ante el Consejo Superior en el semestre 2024-2.
Se han llevado a cabo reuniones con los coordinadores de los programas de posgrado para abordar temas relacionados con los procesos de calidad y la regionalización de los programas.</t>
  </si>
  <si>
    <t>Se evidenciaron documentos relativos a propuestas de modificación de Acuerdos para requisitos de grado, plan coterminal, sin embargo, aún no se consolidan avances en relación con la unidad de medida e indicador definido para la actividad de mejora.
De otra parte, no se presentaron soportes del Acuerdo Superior 014 de 2024 aprobado y publicado, relativo a las modalidades de trabajo de grado para los programas de posgrado.
Actividad reformulada como consta en acta de seguimiento 2.6-3.49/04 del 31/07/2024, con alcance a las gestiones realizadas por el Centro de posgrado, pendiente la gestión de aprobación de las propuestas de modificación de los acuerdos, actividades que corresponden a la Oficina Jurídica.
Se mantiene el avance de 90%</t>
  </si>
  <si>
    <t>  Ausencia de normas íntegras, unificadas y armónicas que regulen el funcionamiento académico y administrativo del Sistema de Postgrados en cuanto a: Requisitos generales y específicos de inscripción, ingreso y matrícula de los estudiantes de posgrado.</t>
  </si>
  <si>
    <t>Elaboración e implementación de norma y herramientas que regulen los requisitos generales para inscripción a programas de posgrados</t>
  </si>
  <si>
    <t>Norma y herramientas aprobadas e implementadas sobre requisitos de inscripción de aspirantes a programas de posgrado</t>
  </si>
  <si>
    <t>Acta 2.6-1.60/33  del 14 de septiembre de 2018, evidenció una implementación
automatizada a través de la página web de la Universidad, el cual armonizó los
requisitos de inscripción, ingreso y matrícula, y permitió una sistematización que
genera celeridad a todo el proceso.</t>
  </si>
  <si>
    <t>Criterios que precisen el otorgamiento de becas en los programas de posgrado.</t>
  </si>
  <si>
    <t>Gestionar la elaboración, presentación y aprobación Acuerdo que reglamente el otorgamiento de becas y estímulos en posgrados</t>
  </si>
  <si>
    <t>Gestiones realizadas para la reglamentación de becas y estímulos</t>
  </si>
  <si>
    <t>Actos administrativos de facultades
Comunicaciones realizadas por el Centro de Posgrados</t>
  </si>
  <si>
    <t>Mediante correo electronico del 21/06/2024 el Centro de posgrados reportó:
tres (3) Listados de asistencia, temas a tratar: nuevos registros calificados (18/04/2024), , programas a regionalización (12/04/2024), asignación de becas - procesos adminitrativos (16/02/2024)
Para el año 2023, la Facultad de Ciencias Humanas expidió la Resolución No. 455 del 16 de octubre de 2023, la cual reglamenta el otorgamiento de becas.
Procedimiento de Trámite de Beca en Programas de Posgrado. código PM-FO-4.4-PR-6 del 24/01/2024</t>
  </si>
  <si>
    <t xml:space="preserve">
Se refieren avances para las becas de prosgrado, no obstante, no existe avance adicional en relación a la unidad de medida planteada.
Actividad reformulada como consta en acta de seguimiento 2.6-3.49/04 del 31/07/2024, con alcance a las gestiones realizadas por el Centro de posgrado para la reglamentación de becas.
Pendiente el trabajo articulado con la Vicerrectoría Académica para definir algunos criterios sobre becas.
Se encuentra en proyección el Acuerdo de becas CIDESCO y Saber Pro, pendiente evidenciar.
Se asigna avance de 90%</t>
  </si>
  <si>
    <t>Mediante correo electronico del 30/01/2025 el Centro de posgrados reportó:
Circular Informativa de la Vicerrectoría Académica sobre requisitos y procedimiento para el convenio CIDESCO-docentes y directivos externos.
RESOLUCIÓN No. 534 (25 de julio de 2024) - Facultad de Derecho, Ciencias Políticas y Sociales. 
Resolución No. 648 (Del 18 de julio de 2024) Facultad de Ciencias Naturales, Exactas y de la Educación - re
Oficio 4.4-55.6/1238 del 22 de agosto de 2024 - Reporte de estudiante que no reclamó el oficio para el trámite de póliza de cumplimiento beca periodo 2024.1.
Por lo anterior, se concluye: 
Promedio de eficacia y eficiencia de 95%
Gestión: 50% Se continua con la relgamentación de becas y estímulos en los programas de posgrado de las Facultades académicas.
Impacto: 50% aun no se presenta evidencia de la reglamentación en la totalidad de facultades.
Efectividad de 65%: se debe verificar la reglamentación de las becas y estímulos en las facultades que aun no presentan en las evidencias.</t>
  </si>
  <si>
    <t>Falta documentación de los procedimientos que guien la operación académico - administrativa del sistema de posgrados.</t>
  </si>
  <si>
    <t>Falta de identificación de los procedimientos necesarios en el funcionamiento de los programas de posgrado</t>
  </si>
  <si>
    <t>Identificar y documentar los procedimientos necesarios en el funcionamiento de los programas de posgrado</t>
  </si>
  <si>
    <t xml:space="preserve">Elaboración e implementación de los procedimientos </t>
  </si>
  <si>
    <t>Procedimiento de admisión y matrícula actualizado e implementado</t>
  </si>
  <si>
    <t>Se revisó en el programa Lvmen:
PM-FO-4.4-PR-3 Matrícula Financiera de Estudiantes Regulares de Posgrado V3, fecha 24-01-2024
PM-FO-4.4-PR-10 Inscripción, Matrícula Financiera y académica para adm. a los programas de Posgrado V2, fecha 24-01-2024
PM-FO-4.4-PR-1 Verificación del Requisito “Certificado Electoral”, fecha 24-01-2024
 PM-FO-4.4-PR-5 Verificación del Requisito Prueba de Suficiencia en Idioma Extranjero (PSI) V1, fecha 7-11-2023 
PM-FO-4.4-PR-07 Solicitud de traslado de inscripción V1, fecha 24-01-2024</t>
  </si>
  <si>
    <t>Procedimientos actualizados y formalizados en el programa Lvmen para la vigencia 2024, pendiente valoración de efectividad.
Actividad reformulada como consta en acta de seguimiento 2.6-3.49/04 del 31/07/2024, ampliación de fecha hasta 20/12/2024.</t>
  </si>
  <si>
    <t>Procedimiento de adjudicación de becas y estimulos para estudiantes de Posgrados implementado</t>
  </si>
  <si>
    <t>Procedimiento de Trámite de Beca en Programas de Posgrado. código PM-FO-4.4-PR-6 del 24/01/2024</t>
  </si>
  <si>
    <t xml:space="preserve">Acta de seguimiento 2.6-1.60/25 de 2022
En la página web de posgrados se exige para la inscripción la solicitud de beca o estímulo y se enuncian los derechos que se tienen por tales beneficios. 
La OCI: Pasa de un 90 a 100% de avance 
</t>
  </si>
  <si>
    <t>Efectividad: se documentó procedimiento para las becas de programas de posgrado</t>
  </si>
  <si>
    <t>Procedimiento de selección docente de Posgrados implementado</t>
  </si>
  <si>
    <t>Con acta de seguimiento 2.6-3.49/04 del 31/07/2024, Se eliminó del Plan de mejoramiento por cuanto las gestiones no son de competencia del Centro de posgrados, sino del proceso y unidades académicas, en cuanto a Comités de posgrados, departamentos y Comités de Facultad.</t>
  </si>
  <si>
    <t>Debilidades en la planeación, ejecución y control en procura de la permanencia de los programas de posgrado</t>
  </si>
  <si>
    <t>Inexistencia de estudios de sostenibilidad de los programas de posgrado con registro calificado vigente</t>
  </si>
  <si>
    <t>Diagnosticar lel estado de los programas de posgrado con registro calificado vigente y analizar su viabilidad para las acciones pertinentes</t>
  </si>
  <si>
    <t>Elaboración del diagnóstico a cada programa de posgrado y recomendar las acciones pertinentes</t>
  </si>
  <si>
    <t>Documento diagnóstico con sus recomendaciones</t>
  </si>
  <si>
    <t>Acta 2.6-1.60/72 del 28 09 2018, evidenció que el Centro de Posgrados realizó un estudio sobre el estado actual de todos los programas de posgrado, así como cohortes vigentes. Este documento fue socializado en el Consejo Académico para determinar la viabilidad del cierre anticipado de los programas sin cohortes o la terminación normal de su registro. Situación analizada por el Centro Gestión de la Calidad y la Acreditación Institucional, quien determinó que es más favorable su terminación por vencimiento normal.</t>
  </si>
  <si>
    <t>Creación de programas con malla curricular similar, estudios de mercado incompletos, falta de criterios de asignación de valores de inscripción y matrícula; y programas sin coordinador.</t>
  </si>
  <si>
    <t>Debilidades en los controles a la gestión de los programas académicos</t>
  </si>
  <si>
    <t>Aplicar controles a la gestión de los programas de posgrados a través de los comités de posgrado</t>
  </si>
  <si>
    <t>Sesionar con el comité de posgrados para temas de los programas de posgrado de las facultades</t>
  </si>
  <si>
    <t>actas a revisar para el próximo seguimiento.</t>
  </si>
  <si>
    <t>Acta de seguimiento 2.6-1.60/07 de 2022
El Centro de Postgrados explica que lo comités de posgrados de facultad realizan los controles a los programas, se evidenciaron 9 actas de diferentes comités con la participación del Centro de Posgrados.
La OCI: Pasa de un 56% de avance a un 100%</t>
  </si>
  <si>
    <t>Realizar el Plan estratégico, investigación de mercados y plan de mercadeo de los programas de posgrados vigentes</t>
  </si>
  <si>
    <t>Elaboración del plan estratégico, de investigación de mercados y plan de mercadeo de los programas de posgrado vigentes</t>
  </si>
  <si>
    <t>Documento Plan Estratégico, investigación de mercado y Plan de mercados</t>
  </si>
  <si>
    <t>El Centro de Posgrados construyó un documento sobre la viabilidad de programas de posgrado, así como estrategias de difusión y mercadeo
2.6-1.60/72 del 28 09 2018</t>
  </si>
  <si>
    <t>Definir políticas a nivel institucional sobre parámetros para asignación de valores de matrícula a programas de posgrado</t>
  </si>
  <si>
    <t>Gestionar la modificación de los valores de los derechos pecuniarios para los programas de posgrado</t>
  </si>
  <si>
    <t>Modificación de los valores de derechos pecuniarios gestionados</t>
  </si>
  <si>
    <t>Gestiones realizadas 
Acto administrativo con ajuste de valores de derechos pecuniarios</t>
  </si>
  <si>
    <t>Evidencia de la vigencia 2023:
Oficio 4.4-52.5/1236 del 25/10/2023 presentación requisitos de viabilidad financiera
Oficio 4.4-52.5/1235 del 25/10/2023, aval
Certificado de conveniencia y oportunidad PE-GE-2.4-FOR-22 del 26/10/2023
Propuesta modificación del acerdo 002 de 1994 derechos pecuniarios para la disminución de la inscripción a especialización maestría y doctorados
Oficio 4.4-92/1082 del 11/09/2023, solicitud de proyección para análisis de valor de inscripción programas de posgrado
Oficio 2.4-92/982 de 19/09/2023 respuesta oficio 1082
Resolución Rectoral 0894 de 22 de agosto de 2024, por la cual se fija los derechos pecuaniarios de las inscipciones a los programas de posgrado.</t>
  </si>
  <si>
    <t>Mediante correo electronico del 30/01/2025 el Centro de posgrados reportó: 
Resolución Rectoral 0894 de 22 de agosto de 2024, por la cual se fija los derechos pecuaniarios de las inscipciones a los programas de posgrado.
Por lo anterior se concluye:
Promedio de eficacia y eficiencia de 100%
Gestión e impacto: 100% Se logró actualizar los valores pecuniarios para inscripción a programas de posgrados.
Efectividad de 100%</t>
  </si>
  <si>
    <t>Documentos de auto-evaluación de distintos programas con información idéntica.</t>
  </si>
  <si>
    <t>Deficiencias en la revisión de las autoevaluaciones de cada programa</t>
  </si>
  <si>
    <t>Documentar el procedimiento de autoevaluación de los programas de posgrado</t>
  </si>
  <si>
    <t xml:space="preserve"> Elaboración del procedimiento para autoevaluación de los programas de posgrado </t>
  </si>
  <si>
    <t>Procedimiento implementado</t>
  </si>
  <si>
    <t>Se documentó el procedimiento PE-GS-4-PR-2 Acreditación y Renovación de la Acreditación y PE-GS-4-PR-1 Creación, Renovación de Registro Calificado y Reforma de Programas, que en su contenido considera el proceso de autoevaluación.
Además se evidencia seguimiento constante a los procesos de autoevaluación desde el Centro de Gestión de la Calidad y la Acreditación Institucional, coadyuvada con los gestores de Calidad
2.6-1.60/18 del 25 de noviembre de 2019</t>
  </si>
  <si>
    <t>Incipientes estrategias en la  destinacion, difusión y mercadeo de los programas de postgrado.</t>
  </si>
  <si>
    <t>Deficiencias en los planes y proyectos de difusión y mercadeo</t>
  </si>
  <si>
    <t>Implementar estrategias de mercadeo para los programas de posgrado</t>
  </si>
  <si>
    <t xml:space="preserve">Elaboración y ejecución de estrategia de mercadeo para los programas de posgrados  </t>
  </si>
  <si>
    <t>Registro de las estrategias de mercadeo</t>
  </si>
  <si>
    <t>El acta 2.6-1.60/72 del 28 09 2018, evidenció que el Centro de Posgrados ha implementado múltiples estrategias de mercadeo a través Televisión, Radio, prensa y pendones publicitarios.</t>
  </si>
  <si>
    <t>Inconsistencias sustanciales y de técnica jurídica en la expedición de Resoluciones de designación de coordinación de programas de posgrado.</t>
  </si>
  <si>
    <t>Deficiencias en el contro y expedicion de los Actos Admiinistrativos</t>
  </si>
  <si>
    <t>Elaborar minuta referente con los lineamientos de las normas vigentes</t>
  </si>
  <si>
    <t>Elaboración de minuta</t>
  </si>
  <si>
    <t>Minuta elaborada e implementada</t>
  </si>
  <si>
    <t>La División de Gestión del Talento Humano en visita del 26 de septiembre de 2021 presentó  “Comunicado: http://www.unicauca.edu.co/versionP/documentos/comunicados/comunicado-sobre-firma-yo-suscripci%C3%B3n-en-documentos-institucionales-con-la-menci%C3%B3n-del-cargo-corr, además exhibió copia de las minutas a implementar e implementadas sobre de actos administrativos de situaciones administrativas.
Avance: Pasa de un avance del 0% al 100%</t>
  </si>
  <si>
    <t>Debilidad en la formulación e implementación de controles o inadecuada aplicación de los mismos en cuanto a:Seguimiento y cumplimiento de funciones, obligaciones, deberes y prohibiciones de los coordinadores.</t>
  </si>
  <si>
    <t>Controles inefectivos aplicables al funcionamiento de los posgrados</t>
  </si>
  <si>
    <r>
      <rPr>
        <sz val="11"/>
        <color rgb="FF000000"/>
        <rFont val="Arial"/>
      </rPr>
      <t>Socializar las funciones asignadas a los coordinadores de posgrados en el Acuerdo 052 de 2015, privilegiando la parte académica</t>
    </r>
  </si>
  <si>
    <t>Socializar el Acuerdo 052 de 2015</t>
  </si>
  <si>
    <t>Acuerdo 052 socializado</t>
  </si>
  <si>
    <r>
      <rPr>
        <sz val="11"/>
        <color rgb="FF000000"/>
        <rFont val="Arial"/>
      </rPr>
      <t xml:space="preserve">Registros de socialización
Registros fotográficos
Listados de asistencia </t>
    </r>
  </si>
  <si>
    <t>Con corte a I semestre 2024, resultado de la evaluación, se conoció:
Correo de Socialización Nuevos formatos matrículas 2024-1 POSGRADOS
MESAS DE TRABAJO COORDINADORES DE POSGRADO socialización acuerdo 052/2015
Correo RECORDATORIO - HOY BIENVENIDA COORDINADORES DE PROGRAMAS DE
POSGRADOS PERIODO 2024-II
Listados de asistencia bienvenida coordinadores de posgrado</t>
  </si>
  <si>
    <t>Actividad reformulada como consta en acta de seguimiento 2.6-3.49/04 del 31/07/2024.
Pendiente evidenciar las gestiones realizadas para la socialización del Acuerdo 052/2015.
Posterior al seguimiento del acta 2.6-3.49/04, se valida la evidencia de las sesiones realizadas y se asigna avance de 90%, pendiente  las actividades a desarrollar en el II semestre 2024</t>
  </si>
  <si>
    <t>Mediante correo electronico del 30/01/2025 el Centro de posgrados reportó: Correos de programación de capacitaciones con facultades y material fotográfico, entre ellos los temas de viabilidad financiera.
Por lo anterior se concluye:
Promedio de eficacia y eficiencia de 95%
Gestión e impacto: 100% Se continua con las jornadas de socialización de los lineamientos a coordinadores de programas de posgrados.
Efectividad de 98%, se debe mantener el desarrollo de la actividad.</t>
  </si>
  <si>
    <t>Debilidad en la formulación e implementación de controles o inadecuada aplicación de los mismos en cuanto a:La selección y vinculación de docentes</t>
  </si>
  <si>
    <t>Documentar procedimiento de selección y vinculación de docentes en posgrados</t>
  </si>
  <si>
    <t>Elaboración del procedimiento para selección y vinculación de docentes, considerando las particularidades de los programas de posgrados</t>
  </si>
  <si>
    <t>Debilidad en la formulación e implementación de controles o inadecuada aplicación de los mismos en cuanto a:Coordinaciones de programas en coexistencia con  situaciones administativas (comisiones académicas, de estudios, año sabático y cargos académico administrativos).</t>
  </si>
  <si>
    <t>Establecer un mecanismo de advertencia para evitar la designación de coordinadores con situación administrativa vigente</t>
  </si>
  <si>
    <t>Adopción de mecanismos de control</t>
  </si>
  <si>
    <t>Punto de Control.
Generar una herramienta de control, aplicada por la Vicerrectoría Académica</t>
  </si>
  <si>
    <t>La División de Gestión del Talento Humano en visita del 26 de septiembre de 2021 presentó las minutas a implementar e implementadas sobre de actos administrativos de situaciones administrativas y los controles aplicados a las mismas.
Avance: Pasa de un avance del 0% al 100%</t>
  </si>
  <si>
    <t xml:space="preserve">Desarticulación de los sistemas  SQUID, SIMCA, FINANZAS PLUS y SRH que administran información académica, administrativa y financiera de los programas </t>
  </si>
  <si>
    <t>Programas independientes, con sistemas distintos que no han permitido la intercomunicación entre ellos, teniendo en cuenta que de algunos tenemos licencias y de otros somos dueños, lo que impide unificar el sistema de comunicación entre ellos</t>
  </si>
  <si>
    <t>Creación de planes de contingencia tendientes a vincular la información y unificarla</t>
  </si>
  <si>
    <t>Gestionar los ajustes en los sistemas de información acorde a las necesidades identificadas por los programas de posgrado</t>
  </si>
  <si>
    <t>Ajustes en los sistemas gestionados</t>
  </si>
  <si>
    <t>Ajustes de sistemas de información gestionados
Reportes generados</t>
  </si>
  <si>
    <t xml:space="preserve">
Con corte a I semestre 2024, resultado de la evaluación, se conoció:
Correo electrónico Contraseña Sistema Desktop -DORA ELENA AGREDO ANACONA del 19/09/2023
URGENTE SEGUNDA SOLICITUD DE APOYO CON TRÁMITES SIMCA del 6/02/2024
error en el sistema SIMCA escritorio con estudiantes de Posgrados del 5/02/2024
Matriculas estudiantes nuevos 2024-1 del 12/02/2024
PROGRAMA INACTIVO- MAESTRIA EN RECURSOS HIDROBIOLOGICOS del 11/3/2024
Solicitud - Configuración asignaturas - Doctorado Ingeniería Telemática - 2024-1 del 12/06/2024
SOLICITUD DE INFORMACIÓN (avances y ajustes realizados) del 11/04/2024
Solicitud de adición parámetro concepto becas del 18/06/2024
Solicitud de Inactivar para crear nuevo usuario del 12/03/2024
Solicitud de parametrización del sistema (Acuerdo 017/2023) del 24/04/2024
solicitud información códigos de estudiantes posgrados del 16/05/2024
Solicitud de desarrollo en formato PA-GA-5,3-FOR-1 </t>
  </si>
  <si>
    <t xml:space="preserve">Actividad reformulada como consta en acta de seguimiento 2.6-3.49/04 del 31/07/2024.
Posterior al seguimiento del acta 2.6-3.49/04, se valida la evidencia de las gestiones de los ajustes a Sistemas de información, acorde a las necesides de los programas de posgrados.
Se asigna avance de 80% 
Para el II semestre 2024 se debe evidenciar las solicitudes realizadas y reportes generados de los sistemas de información
</t>
  </si>
  <si>
    <t>Mediante correo electronico del 30/01/2025 el Centro de posgrados reportó: Acta de reunión de 25 de julio de 2024, pero su contenido no es legible, por lo que no es posible verificar su efectividad.
Se debe verificar por la OCI en una visita posterior.</t>
  </si>
  <si>
    <t xml:space="preserve">Bajo desarrollo e interacción de los responsables de la Gestión de Egresados.  </t>
  </si>
  <si>
    <t>Debilidad en los flujos de comunicación internos</t>
  </si>
  <si>
    <t>Establecer estrategias para identificar a los egresados y para mejorar la comunicación con ellos</t>
  </si>
  <si>
    <t>Mecanismos de Relacionamiento con los egresados</t>
  </si>
  <si>
    <t xml:space="preserve">Establecer en herramientas de comunicación con los egresados </t>
  </si>
  <si>
    <t>El Área de Egresados yl Centro de Posgrados realizó encuentros de egresados, donde se recolecta la información para gestionar la base de datos.
2.6-1.60/18 del 25 de noviembre de 2019</t>
  </si>
  <si>
    <t xml:space="preserve">Decrecimiento del personal docente de planta, sin relevo  </t>
  </si>
  <si>
    <t>Procesos de selección declarados desiertos, falta de reglamentación clara del procedimeinto y parametros de selección</t>
  </si>
  <si>
    <t>Reglamentar y definir el procedimientos</t>
  </si>
  <si>
    <t>Reglamentación de de  procedimeinto y parametros de selección</t>
  </si>
  <si>
    <t>Proyecto de Acuerdo; Procedimiento</t>
  </si>
  <si>
    <t>UNIDAD DE SALUD</t>
  </si>
  <si>
    <t>Jefe OCI</t>
  </si>
  <si>
    <t xml:space="preserve">INFORME 2.6-52.18/23 de 2019  de Evaluación al Talento </t>
  </si>
  <si>
    <r>
      <t>Gestión
(</t>
    </r>
    <r>
      <rPr>
        <sz val="11"/>
        <color rgb="FFFFFFFF"/>
        <rFont val="Arial"/>
        <family val="2"/>
      </rPr>
      <t>% subsana la causa y hallazgo</t>
    </r>
    <r>
      <rPr>
        <b/>
        <sz val="11"/>
        <color rgb="FFFFFFFF"/>
        <rFont val="Arial"/>
        <family val="2"/>
      </rPr>
      <t>)</t>
    </r>
  </si>
  <si>
    <t>La Unidad no cuenta con norma especial que regule la gestión humana, y los Acuerdos Superiores 006 y 007 de 2006 de 2007 vigentes en la materia para la Universidad del Cauca, no se aplican con sujeción al Acuerdo 010 de 2010 Par. 1 Art. 26; tampoco el Decreto 1083 de 2015 en sus nuevas dinámicas</t>
  </si>
  <si>
    <t>No se ha adoptado los criterios normativos a aplicar en el manejo de la Gestión Humana de la Unidad de Salud de acuerdo a los procesos de la Universidad del Cauca. La UDS no ha adoptado los Acuerdos 006 y 007 de 2006 en su totalidad.</t>
  </si>
  <si>
    <t>Implementar el Sistema Obligatorio de Garantía de Calidad en Salud - Habilitación - Estándar de Taleto Humano para garantizar la adopción de los procesos y procedimientos de TTHH de la Universidad del Cauca.</t>
  </si>
  <si>
    <t>Implementación del Sistema Obligatorio de Garantía de Calidad en Salud (SOGCS) y Adopción de los Acuerdos de TTHH de la UdelC.</t>
  </si>
  <si>
    <t>Aprobación SOGCS</t>
  </si>
  <si>
    <t>Director Unisalud</t>
  </si>
  <si>
    <t xml:space="preserve">Acto administrativo de adopccion Y cumplimiento a los Acuerdos de la UDC y de la UDS </t>
  </si>
  <si>
    <t>Acta Estatuto Contratación Unicauca 20/04/23
Sin reporte de evidencias para el seguimiento II semestre 2023
I semestre 2024:
Con oficio 10.1-55.6/523  del 21/06/2024, la Unidad de Salud reportó: 
1. Borrador acta de reunión con el consejo de salud para tratar los temas sobre el SOGSS y organigrama.
2. Acta de reunión con la oficina de Calidad
3. Oficio 225 de 15 de marzo de 2024, de solicitud jornada de trabajo.
4. Organigrama propuesto
5. Mapa de procesos 
Además, la OCI realizó visita in situ para ampliar la información recibida y resolver algunas inquietudes, según acta 2.6-3.49/11 del 03/09/2024</t>
  </si>
  <si>
    <t xml:space="preserve">I semestre 2024:
Actualmente con la nueva Dirección de la Unidad de Salud se viene trabajando en la propuesta de ajuste a la planta de personal de acuerdo a los lineamientos establecidos en el Decreto 1083-2015 y al Decreto 2489 de 2006, con el acompañamiento de un profesional asignado por la Vicerrectoria Administrativa, ademas en la formulación del Manual de funciones acorde con el ajuste que se está haciendo, una vez se haya surtido el proceso de aprobación por el Consejo de Salud , se presentará  ante el Consejo Superior para su aprobación e implentación. Se indicó que es importante contar con este insumo para poder continuar con la implementación del Sistema Obligatorio de Garantía de Calidad en Salud (SOGCS), proceso en el que también se ha venido avanzando. 
Se solicita por la Dirección de la Unidad se estudie la viabilidad de ampliación del plazo establecido al plan de mejora y de restructurar las acciones,  actividades e indicador que se derivaron de los hallazgos toda vez que una vez analizadas por la nueva Dirección considera que no todas las actividades apuntan a la implementación del Sistema obligatorio de garantía de calidad en salud, por lo anterior la OCI acoge la solicitud y dará respuesta favorable a esta petición la cual se implementará para el segundo semestre de 2024.
 Se evidencia comunicación 10.1-55.6/225 del 15 de marzo de 2024 solicitando una jornada de trabajo para tratar temas juridicos de la Unidad de salud dirijida a la oficina juridica de la Universidad 
Se presento al Consejo de Salud según se evidencia en acta extraordinaria No. 10.1-1.71 del 16 de mayo de 2024 la presentación del organigrama -SOGC .
Según acta No. 2.2-1.56/25 del 15 de junio de 2024 con el Centro de gestión de la Calidad como dependencia responsable se hace una contextualización por parte del Director de la Unidad sobre el SOGC y los avances de la documentación ,solicitando a Calidad acompañamiento e ilustración para realizar los procesos de aseguramiento, dicha oficina indica que el avance dependerá de los recursos asignados para la implementación, solicitando una nueva reunión para revisión documental. </t>
  </si>
  <si>
    <t>Sin adopción del Modelo de operación por procesos, el Organigrama contempla una Jefatura Financiera y áreas que no cuentan con aprobación oficial, lo que resta claridad a su quehacer, P. ej: el Área de Trabajo Social dependiente de la Subdirección Científica orienta actividades principales de afiliación, marginada de las que incumben a programas y políticas de bienestar y desarrollo social de los usuarios; Área de Sistemas, Área de Contratación, Área de presupuesto, Área de Auditoría de Cuentas y Recobros, Área de Almacén, Tesorería y Oficina de Atención al Usuario, a los cuales se asignan empleados y contratistas.</t>
  </si>
  <si>
    <t xml:space="preserve">Acto administrativo de adopccion y cumplimiento a los Acuerdos de la UDC y de la UDS </t>
  </si>
  <si>
    <t xml:space="preserve"> Acta Sesión Extraordinaria CS 16/05/23 Entregada
Acta 025 Centro de Gestión de Calidad 15/06/23
Sin reporte de evidencias para el seguimiento II semestre 2023
I semestre 2024:
Con oficio 10.1-55.6/523  del 21/06/2024, la Unidad de Salud reportó: 
1. Borrador acta de reunión con el consejo de salud para tratar los temas sobre el SOGSS y organigrama.
2. Acta de reunión con la oficina de Calidad
3. Oficio 225 de 15 de marzo de 2024, de solicitud jornada de trabajo.
4. Organigrama propuesto
5. Mapa de procesos 
Además, la OCI realizó visita in situ para ampliar la información recibida y resolver algunas inquietudes, según acta 2.6-3.49/11 del 03/09/2024</t>
  </si>
  <si>
    <t>I semestre 2024:
Actualmente con la nueva Dirección de la Unidad de Salud se viene trabajando en la propuesta de ajuste a la planta de personal de acuerdo a los lineamientos establecidos en el Decreto 1083-2015 y al Decreto 2489 de 2006, con el acompañamiento de un profesional asignado por la Vicerrectoria Administrativa, ademas en la formulación del Manual de funciones acorde con el ajuste que se está haciendo, una vez se haya surtido el proceso de aprobación por el Consejo de Salud , se presentará  ante el Consejo Superior para su aprobación e implentación. Se indicó que es importante contar con este insumo para poder continuar con la implementación del Sistema Obligatorio de Garantía de Calidad en Salud (SOGCS), proceso en el que también se ha venido avanzando. 
Se solicita por la Dirección de la Unidad se estudie la viabilidad de ampliación del plazo establecido al plan de mejora y de restructurar las acciones,  actividades e indicador que se derivaron de los hallazgos toda vez que una vez analizadas por la nueva Dirección considera que no todas las actividades apuntan a la implementación del Sistema obligatorio de garantía de calidad en salud, por lo anterior la OCI acoge la solicitud y dará respuesta favorable a esta petición la cual se implementará para el segundo semestre de 2024.
 Se evidencia comunicación 10.1-55.6/225 del 15 de marzo de 2024 solicitando una jornada de trabajo para tratar temas juridicos de la Unidad de salud dirijida a la oficina juridica de la Universidad 
Se presento al Consejo de Salud según se evidencia en acta extraordinaria No. 10.1-1.71 del 16 de mayo de 2024 la presentación del organigrama -SOGC .
Según acta No. 2.2-1.56/25 del 15 de junio de 2024 con el Centro de gestión de la Calidad como dependencia responsable se hace una contextualización por parte del Director de la Unidad sobre el SOGC y los avances de la documentación ,solicitando a Calidad acompañamiento e ilustración para realizar los procesos de aseguramiento, dicha oficina indica que el avance dependerá de los recursos asignados para la implementación, solicitando una nueva reunión para revisión documental.</t>
  </si>
  <si>
    <r>
      <t>Las caracterizaciones de los dos subprocesos publicados: código: MA-GA-2.6-CA del 08/06/2010 “</t>
    </r>
    <r>
      <rPr>
        <i/>
        <sz val="11"/>
        <color rgb="FF000000"/>
        <rFont val="Arial"/>
        <family val="2"/>
      </rPr>
      <t>Gestión Administrativa Unidad de Salud</t>
    </r>
    <r>
      <rPr>
        <sz val="11"/>
        <color rgb="FF000000"/>
        <rFont val="Arial"/>
        <family val="2"/>
      </rPr>
      <t>” y código: MA-GO-10-CA del 24/01/2012 “</t>
    </r>
    <r>
      <rPr>
        <i/>
        <sz val="11"/>
        <color rgb="FF000000"/>
        <rFont val="Arial"/>
        <family val="2"/>
      </rPr>
      <t>Subproceso Gestión Asistencial u Operativa”</t>
    </r>
    <r>
      <rPr>
        <sz val="11"/>
        <color rgb="FF000000"/>
        <rFont val="Arial"/>
        <family val="2"/>
      </rPr>
      <t>, se encuentran desactualizados frente al Decreto 1083 de 2015 y nuevos lineamientos del Departamento Administrativo de la Función Pública; su referencia es la NTCGP 1000 de 2009 ya derogada</t>
    </r>
  </si>
  <si>
    <t>Desactualización del SGC y ausencia del SOGCS para la IPS y EPS dentro del Sistema General de Seguridad Social en Salud (SGSSS).</t>
  </si>
  <si>
    <t>Actualizar las caracterizaciones de los subprocesos y realizar el despliegue del mapa de procesos dentro del nuevo SOGCS.</t>
  </si>
  <si>
    <t>Acto administrativo de aplicación a la norma de la Funcion Publica</t>
  </si>
  <si>
    <t xml:space="preserve"> Acta Sesión Extraordinaria CS 16/05/23 Entregada
Acta 025 Centro de Gestión de Calidad 15/06/23
Sin reporte de evidencias para el seguimiento II semestre 2023
I semestre 2024:
Con oficio 10.1-55.6/523  del 21/06/2024, la Unidad de Salud reportó: 
1. Acta de reunión con el Consejo de Salud
2. Organigrama propuesto
3. Mapa de procesos
Además, la OCI realizó visita in situ para ampliar la información recibida y resolver algunas inquietudes, según acta 2.6-3.49/11 del 03/09/2024</t>
  </si>
  <si>
    <t>Presenta las siguientes propuestas:
	Actualización de la plataforma estratégica de calidad.
	De procesos y subprocesos que se armonizan con la estructura orgánica exhibida.
Sujeto al estudio y aval por el Consejo de Salud y Consejo Superior
Seguimiento 2023-2: Se solicitó información con oficio 2.6-52.18/322 del 16/11/2023, sin obtener respuesta de avances. 
I semestre 2024: 
Sin evidencia de actualización de los subprocesos  Gestion administrativa y gestión asistencial u operativa de acuerdo a lo indicado en el hallazgo.
Se mantiene el % de avance del II semestre 2023</t>
  </si>
  <si>
    <t>Debilidad en los procedimientos documentados que guían la operación diaria de las funciones, y ausencia de procedimientos básicos en la gestión del talento humano como: nombramientos, encargos, y delegación de funciones; capacitación y formación; inducción, reinducción y empalme; evaluación del desempeño; permisos; licencias ordinarias, por luto, maternidad y paternidad; comisiones de estudio y de servicio; liquidación y pago de horas extras, dominicales, festivos y recargo nocturnos; retiro parcial o definitivo de cesantías; expedición de certificados laborales; solicitud de suspensión o disfrute de vacaciones.</t>
  </si>
  <si>
    <t>Ausencia de Procesos y Procedimientos organizados en un sistema.</t>
  </si>
  <si>
    <t>Revisar, Ajustar, Actualizar  y elaborar los procedimientos relacionados con el Talento Humano de la Unidad de Salud dentro del SOGCS.</t>
  </si>
  <si>
    <t xml:space="preserve">Procedimientos documentados </t>
  </si>
  <si>
    <t>Solicitud de capacitacion referente a los diferentes temas a la Universidad del Cauca. Oficio 10,1-92/221</t>
  </si>
  <si>
    <t>Acta Sesión Extraordinaria CS 16/05/23 Entregada
 Oficio 337  C.Jurid. Situacion Actual UDS 14/04/23
Oficio 410  Solicitud Mod. Acuerdo 010 Juridica 09/05/23
Respuesta Oficios Oficina Jurídica UDS 30/05/23
Respuesta Jurídica Suspensión Proceso Selección
Sin reporte de evidencias para el seguimiento II semestre 2023
I semestre 2024:
Con oficio 10.1-55.6/523  del 21/06/2024, la Unidad de Salud reportó: 
1. Borrador acta de reunión Unidad de Salud, inducción y reinducción
2. Organigrama propuesto
3. Mapa de procesos
Además, la OCI realizó visita in situ para ampliar la información recibida y resolver algunas inquietudes, según acta 2.6-3.49/11 del 03/09/2024</t>
  </si>
  <si>
    <t> Se presenta propuesta de documentación de los procedimientos para la implementación de SOGC
La aprobación de los procedimientos está sujeto al estudio y aval del Consejo de Salud de los documentos estratégicos.
Sujeto al estudio y aval por el Consejo de Salud y Consejo Superior
Seguimiento 2023-2: Se solicitó información con oficio 2.6-52.18/322 del 16/11/2023, sin obtener respuesta de avances. 
I semestre 2024:
Se mantiene el avance de presentación de documentación de los procedimientos para la implementación de SOGD, no se evidencia el aval del Consejo de Salud. 
Se mantiene el % de avance del II semestre 2023</t>
  </si>
  <si>
    <t>No existe registro de trámites en la plataforma SUIT del DAFP para su publicación en el portal web NO+FILAS: Ley 962 de 2005, Ley 1474 de 2011, el Decreto Ley 019 de 2012 y Resolución no.1099 de 2017 del DAFP.</t>
  </si>
  <si>
    <t>Ausencia de capacitación al respecto.</t>
  </si>
  <si>
    <t>Solicitar a TTHH capacitación en el manejo del Software y entrega del usuario y contraseña para la UDS.</t>
  </si>
  <si>
    <t>Revisar y elaborar los trámites relacionados de la Unidad de Salud.</t>
  </si>
  <si>
    <t>Capacitación Recibida , Asignación de Usuario y Contraseña</t>
  </si>
  <si>
    <t>Pendiente solicitud de asesoria a la oficina de Planeacion</t>
  </si>
  <si>
    <t xml:space="preserve"> Acta Sesión Extraordinaria CS 16/05/23 Entregada
Acta 025 Centro de Gestión de Calidad 15/06/23
Sin reporte de evidencias para el seguimiento II semestre 2023
I semestre 2024:
Con oficio 10.1-55.6/523  del 21/06/2024, la Unidad de Salud reportó: 
1. Solicitud usuario plataforma DAFP
2. Contrato de prestación de servicios de la funcionaria encargada de PQRS.
Además, la OCI realizó visita in situ para ampliar la información recibida y resolver algunas inquietudes, según acta 2.6-3.49/11 del 03/09/2024</t>
  </si>
  <si>
    <t xml:space="preserve">Se comunica con Diana Espinosa e informa que la Unidad de Salud no tiene una propuesta de tramite ante la plataforma DAFP y mientras no se programe el SOGC, se instale y se asigne responsable no se puede entregar Usuario y Contraseña. Lo único que se maneja en corcordancia con los procesos de la Universidad del Cauca es el manejo de Quejas y Reclamos por la Secretaría General y funciona adecuadamente.
Seguimiento 2023-2: Se solicitó información con oficio 2.6-52.18/322 del 16/11/2023, sin obtener respuesta de avances. 
I semestre 2024:
Se evidencia la contratación de una persona que apoyará las actividades de atención al usuario, aseguramiento y demás inherentes al área según CPS 10.2-17.13/051 del 3 de abril de 2024.
Según comunicación 1.10-55.6/517 del 20 de junio de 2024 dirigida al Jefe de Planeación se solicita habilitar usuario en plataforma DAFP indicando en dicha comunicación que se tiene pendiente la programación SOGD, pendiente consulta que hará la oficina de planeación sobre si la Unidad 2 debe contar con usuario en el SUIT
</t>
  </si>
  <si>
    <t>Ausencia de Gestión Estrategia de Talento Humano, lo que puede impactar en la imagen institucional y acarrear incumplimientos legales.</t>
  </si>
  <si>
    <t>Acto administrativo de implementacion  del SOGC</t>
  </si>
  <si>
    <t xml:space="preserve"> Acta Sesión Extraordinaria CS 16/05/23 Entregada
Acta 025 Centro de Gestión de Calidad 15/06/23
Sin reporte de evidencias para el seguimiento II semestre 2023
I semestre 2024:
Con oficio 10.1-55.6/523  del 21/06/2024, la Unidad de Salud reportó: 
1. oficio de solicitud a secretaria general de Actos Administrativos de creación Unidad.
2. Oficio de respuesta de oficina jurídica para estudio de acuerdo
Además, la OCI realizó visita in situ para ampliar la información recibida y resolver algunas inquietudes, según acta 2.6-3.49/11 del 03/09/2024</t>
  </si>
  <si>
    <t>Sujeto a la modificación del Acuerdo 010 de 2010. 
La OCI recomienda la interacción con la División de Gestión del Talento Humano para hacer extensiva la aplicación del Plan
Seguimiento 2023-2: Se solicitó información con oficio 2.6-52.18/322 del 16/11/2023, sin obtener respuesta de avances. 
I semestre 2024: 
La nueva Dirección indica que para avanzar en la implementación del SOGCS, es necesario realizar la actualización de la planta de la Unidad de acuerdo a los lineamientos de los Decretos 2489-2006 y 1083 de 2015, proceso en el que se ha avanzado con el acompañamiento de un profesional para este tema, está pendiente la entrega final del documento para poder presentarlo al Consejo de Salud  para que surta su proceso de aprobación y luego al Consejo Superior para su aprobación e implementación.
El avance pasó del 0% al 30%</t>
  </si>
  <si>
    <t xml:space="preserve">El Decreto 2489/2006 del Departamento Administrativo de la Función Pública vigente sobre nomenclatura y clasificación se encuentra inaplicado, por lo que la planta de personal permanece desactualizada. </t>
  </si>
  <si>
    <t>Atemperar la planta de personal de la uds  a la normatividad en cuanto a cargos, nomenclatura, clasificacion y a  las necesidades de implentacion del Sistema Obligatorio de Garantía de Calidad en Salud.</t>
  </si>
  <si>
    <t>Expedir el acto administrativo con el cual se aprueba la planta de personal de la uds.</t>
  </si>
  <si>
    <t>Acto administrativo aprobado.</t>
  </si>
  <si>
    <t>El acto administrativo  aprobatorio de la planta de personal de la UDS</t>
  </si>
  <si>
    <t xml:space="preserve"> Acta Sesión Extraordinaria CS 16/05/23 Entregada
Acta 025 Centro de Gestión de Calidad 15/06/23
Sin reporte de evidencias para el seguimiento II semestre 2023
I semestre 2024:
Con oficio 10.1-55.6/523  del 21/06/2024, la Unidad de Salud reportó: 
1. oficio de solicitud a secretaria general de Actos Administrativos de creación Unidad.
2. Acta de reunión con el Consejo de Salud
Además, la OCI realizó visita in situ para ampliar la información recibida y resolver algunas inquietudes, según acta 2.6-3.49/11 del 03/09/2024</t>
  </si>
  <si>
    <t>Presenta propuesta de modificación de la planta de personal ajustada a las propuestas de estructura orgánica y de funcionamiento por procesos
Sujeto al estudio y aval por el Consejo de Salud y Consejo Superior
Seguimiento 2023-2: Se solicitó información con oficio 2.6-52.18/322 del 16/11/2023, sin obtener respuesta de avances. 
I semestre 2024:
La nueva Dirección indica que para avanzar en la implementación del SOGCS, es necesario realizar la actualización de la planta de la Unidad de acuerdo a los lineamientos de los Decretos 2489 de 2006 y 1083 de 2015, proceso en el que se ha avanzado con el acompañamiento de un profesional para este tema, está pendiente la entrega final del documento para poder presentarlo al Consejo de Salud  para que surta su proceso de aprobación y luego al Consejo Superior para su aprobación e implementación.</t>
  </si>
  <si>
    <t>El Acuerdo 01/2005 ratificado por el Consejo Superior en Acuerdo 021/2005, fijó la Planta en 39 cargos, con lo que presenta diferencias frente al número de cargos, denominación y grados.</t>
  </si>
  <si>
    <t xml:space="preserve"> Acta Sesión Extraordinaria CS 16/05/23 Entregada
Acta 025 Centro de Gestión de Calidad 15/06/23
Sin reporte de evidencias para el seguimiento II semestre 2023
I semestre 2024: 
Sin evidencia 
La OCI realizó visita in situ para ampliar la información recibida y resolver algunas inquietudes, según acta 2.6-3.49/11 del 03/09/2024</t>
  </si>
  <si>
    <t>Presenta propuesta de modificación de la planta de personal ajustada a las propuestas de estructura orgánica y de funcionamiento por procesos
Sujeto al estudio y aval por el Consejo de Salud y Consejo Superior
Seguimiento 2023-2: Se solicitó información con oficio 2.6-52.18/322 del 16/11/2023, sin obtener respuesta de avances. 
I semestre 2024:
La nueva Dirección indica que para avanzar en la implementación del SOGCS, es necesario realizar la actualización de la planta de la Unidad de acuerdo a los lineamientos de los Decretos 2489-2006 y 1083 de 2015, proceso en el que se ha avanzado con el acompañamiento de un profesional para este tema, está pendiente la entrega final del documento para poder presentarlo al Consejo de Salud  para que surta su proceso de aprobación y luego al Consejo Superior para su aprobación e implementación.</t>
  </si>
  <si>
    <t>Se ha desnaturalizado el empleo público por traslado de un cargo de apoyo médico-asistencial a apoyo administrativo, Técnico Operativo 4080-09 a 3132-09 sin aprobación formal.</t>
  </si>
  <si>
    <t>El CDS y eL Director de la UDS estan realizando un plan de mejora de acuerdo al SOGC que garantice el ajuste de los cargos de la planta de personal.</t>
  </si>
  <si>
    <t>Expedir el acto administrativo con el cual se aprueba la planta de personal de la UDS.</t>
  </si>
  <si>
    <t>El acto administrativo de actualizacion y aprobacion  de la planta de personal de la UDS</t>
  </si>
  <si>
    <t>Se consideran en nómina cinco (5) empleos sin aprobación oficial: Profesional Universitario 2044-10, Técnico Operativo 3132-09, Auxiliar de Servicios Asistenciales 5042 – 16 y 2 Auxiliares Administrativos 5120-10 (CP Art. 122.</t>
  </si>
  <si>
    <t>Proveer los cargos conforme a la planta de personal aprobada con los respectivos ajustes  a la funcion publica..</t>
  </si>
  <si>
    <t xml:space="preserve">Implementar el acto administrativo que aprobo la planta de personal con los ajustes  y proveer los cargos necesarios. </t>
  </si>
  <si>
    <t>acto administrativo que actualiza y provee los cargos de planta de la UDS.</t>
  </si>
  <si>
    <t xml:space="preserve"> Acta Sesión Extraordinaria CS 16/05/23 Entregada
Acta 025 Centro de Gestión de Calidad 15/06/23
Sin reporte de evidencias para el seguimiento II semestre 2023
I semestre 2024:
Con oficio 10.1-55.6/523  del 21/06/2024, la Unidad de Salud reportó: 
1. Respuesta Oficios Oficina Jurídica UDS
2. Respuesta Jurídica Suspensión Proceso
Además, la OCI realizó visita in situ para ampliar la información recibida y resolver algunas inquietudes, según acta 2.6-3.49/11 del 03/09/2024</t>
  </si>
  <si>
    <t xml:space="preserve">A la deficiencia de personal de apoyo a los procesos administrativos (P. ej Subdirección Financiera) se suma la provisión de algunos empleos y la asignación de funciones con perfiles ajenos a la naturaleza del cargo, a las necesidades y funciones (Decreto 1083 de 2015 artículo 2.2.12.2), lo que afecta a los procesos. </t>
  </si>
  <si>
    <t>Implementar el Sistema Obligatorio de Garantía de Calidad en Salud - Habilitación - Estándar de Talento Humano para garantizar la adopción de los procesos y procedimientos de TTHH de la Universidad del Cauca.</t>
  </si>
  <si>
    <t xml:space="preserve"> Acta Sesión Extraordinaria CS 16/05/23 Entregada
Acta 025 Centro de Gestión de Calidad 15/06/23
Sin reporte de evidencias para el seguimiento II semestre 2023
I semestre 2024: 
Sin evidiencia presentada
La OCI realizó visita in situ para ampliar la información recibida y resolver algunas inquietudes, según acta 2.6-3.49/11 del 03/09/2024</t>
  </si>
  <si>
    <t>Implementar el Sistema Obligatorio de Garantía de Calidad en Salud - Habilitación - Estándar de Taleto Humano para garantizar la adopcikón de los procesos y procedimientos de TTHH de la Universidad del Cauca.</t>
  </si>
  <si>
    <t xml:space="preserve"> Acta Sesión Extraordinaria CS 16/05/23 Entregada
Acta 025 Centro de Gestión de Calidad 15/06/23
Sin reporte de evidencias para el seguimiento II semestre 2023
I semestre 2024:
Con oficio 10.1-55.6/523  del 21/06/2024, la Unidad de Salud reportó: 
1. Oficio 225 Solicitud jornada de trabajo
Además, la OCI realizó visita in situ para ampliar la información recibida y resolver algunas inquietudes, según acta 2.6-3.49/11 del 03/09/2024</t>
  </si>
  <si>
    <t>El Acuerdo no describe las funciones de las subdirecciones científicas y financieras, ni asigna sus estructuras funcionales que soporten los procesos de gestión estratégica, talento humano, jurídica, y documental.</t>
  </si>
  <si>
    <t>Implementación del Sistema Obligatorio de Garantía de Calidad en Salud (SOGCS) y Adopción de los Acuerdos de TTHH de la Universidad del Cauca.</t>
  </si>
  <si>
    <t xml:space="preserve"> Acta Sesión Extraordinaria CS 16/05/23 Entregada
Acta 025 Centro de Gestión de Calidad 15/06/23
Sin reporte de evidencias para el seguimiento II semestre 2023
I semestre 2024: 
Sin evidencia presentada
La OCI realizó visita in situ para ampliar la información recibida y resolver algunas inquietudes, según acta 2.6-3.49/11 del 03/09/2024</t>
  </si>
  <si>
    <t>Presenta propuesta de modificación de la planta de personal ajustada a las propuestas de estructura orgánica y de funcionamiento por procesos
Sujeto al estudio y aval por el Consejo de Salud y Consejo Superior
No se presenta propuesta de modificación del Acuerdo 010 de 2010, sin embargo si se ha trabajado en el planeamiento de las estructuras orgánicas. 
. 
Seguimiento 2023-2: Se solicitó información con oficio 2.6-52.18/322 del 16/11/2023, sin obtener respuesta de avances. 
I semestre 2024:
La nueva Dirección indica que para avanzar en la implementación del SOGCS, es necesario realizar la actualización de la planta de la Unidad de acuerdo a los lineamientos de los Decretos 2489-2006 y 1083 de 2015, proceso en el que se ha avanzado con el acompañamiento de un profesional para este tema, está pendiente la entrega final del documento para poder presentarlo al Consejo de Salud  para que surta su proceso de aprobación y luego al Consejo Superior para su aprobación e implementación.</t>
  </si>
  <si>
    <t>El documento contentivo del manual fue aprobado por Acuerdo 002 de 2016 del Consejo de Salud, siendo de competencia del Consejo Superior (Acuerdo 010 de 2010, Art.15 num.7), por lo que los requisitos y funciones de la Unidad de Salud carecen de una reglamentación interna válida y vinculante. Se evidenció asignación de funciones mediante oficios de la Dirección, desempeño de funciones y actividades basado en la costumbre La propuesta de un nuevo Manual de funciones, construido en el año 2016 no obedece a lineamientos metodológicos del Decreto 1083 de 2015</t>
  </si>
  <si>
    <t xml:space="preserve"> Acta Sesión Extraordinaria CS 16/05/23 Entregada
Acta 025 Centro de Gestión de Calidad 15/06/23
Sin reporte de evidencias para el seguimiento II semestre 2023
I semestre 2024:
Con oficio 10.1-55.6/523  del 21/06/2024, la Unidad de Salud reportó: 
1. Propuestas de manual de funciones
Además, la OCI realizó visita in situ para ampliar la información recibida y resolver algunas inquietudes, según acta 2.6-3.49/11 del 03/09/2024</t>
  </si>
  <si>
    <t xml:space="preserve">Se hizo presentación al Consejo de Salud del organograma institucional para su revisón y aprobación y de el depende el plan de cargos y el nuevo manual de funciones de la UDS. Está pendiente la aprobación del acta y del organigrama.
Seguimiento 2023-2: Se solicitó información con oficio 2.6-52.18/322 del 16/11/2023, sin obtener respuesta de avances. 
I semestre 2024:
La nueva Dirección indica que para avanzar en la implementación del SOGCS, es necesario realizar la actualización de la planta de la Unidad de acuerdo a los lineamientos de los Decretos 2489-2006 y 1083 de 2015, proceso en el que se ha avanzado con el acompañamiento de un profesional para este tema, está pendiente la entrega final del documento para poder presentarlo al Consejo de Salud  para que surta su proceso de aprobación y luego al Consejo Superior para su aprobación e implementación.
</t>
  </si>
  <si>
    <t xml:space="preserve">Concentración de funciones incompatibles al Jefe Financiero 2045-16 quien tiene asignadas las funciones de Tesorería propias del Técnico 4065-16 mediante resolución 025 del 5 de marzo o de mayo del 2019 (se indican en ese orden fechas distintas en el encabezado y en la expedición) </t>
  </si>
  <si>
    <t xml:space="preserve"> Acta Sesión Extraordinaria CS 16/05/23 Entregada
Acta 025 Centro de Gestión de Calidad 15/06/23
Sin reporte de evidencias para el seguimiento II semestre 2023
I semestre 2024:
Con oficio 10.1-55.6/523  del 21/06/2024, la Unidad de Salud reportó: 
1. Certificación de los cargos que desempeña el señor Martín Emilio Mosquera 
Además, la OCI realizó visita in situ para ampliar la información recibida y resolver algunas inquietudes, según acta 2.6-3.49/11 del 03/09/2024</t>
  </si>
  <si>
    <t>El Sistema de Carrera Administrativa no es aplicado a la Unidad de Salud en cuanto a: ü Procesos de selección y vinculación para proveer cargos de carrera: las vacancias definitivas se proveen con nombramientos provisionales prorrogados indefinidamente contrariando los Acuerdos 006 de 2006 num.  1.6 y 2 del Art. 19 del y el Acuerdo 007 de 2006 Art. 15.</t>
  </si>
  <si>
    <t xml:space="preserve"> Acta Sesión Extraordinaria CS 16/05/23 Entregada
Acta 025 Centro de Gestión de Calidad 15/06/23
Sin reporte de evidencias para el seguimiento II semestre 2023
I semestre 2024: 
No se presenta evidencias</t>
  </si>
  <si>
    <t>Se hizo presentación al Consejo de Salud del organograma institucional para su revisón y aprobación y de el depende el plan de cargos y el nuevo manual de funciones de la UDS. Está pendiente la aprobación del acta y del organigrama.
Seguimiento 2023-2: Se solicitó información con oficio 2.6-52.18/322 del 16/11/2023, sin obtener respuesta de avances. 
I semestre 2024: 
No se presenta evidencia para esta actividad, por lo que el avance se mantiene en el del último seguimiento.</t>
  </si>
  <si>
    <t>Dos inscripciones que reconocen derechos al Registro de la Carrera Administrativa Universitaria, se encuentran viciadas, en tanto incumplen con los presupuestos del Acuerdo 006 de 2006 que exige el agotamiento de los procesos rigurosos de selección (Título IV, Artículos 22 y ss).° Cédula 25283345: Resolución de nombramiento provisional No. 198 del 2009 como Auxiliar Administrativo 535010; acta de posesión 05 del 13/07/2009.Inscrita en el Registro de Carrera con Resolución CAC 001 del 22/03/2013, modificada con Resolución CAC 001 del 2014 que ordena retroactividad al 2009. ° Cédula 87570413 Resolución de nombramiento provisional N° 198 del 2009 como Técnico Administrativo.</t>
  </si>
  <si>
    <t>No hay claridad en en el proceso y la apilicacion de la carrera administrativa de la Unidad de Salud.</t>
  </si>
  <si>
    <t>Reglamentar lo relativo  a la  carrera   administrativa con los  ajustes a las necesidades de la UDS..</t>
  </si>
  <si>
    <t>Expedir un acto adminstrativo que reglamente el proceso de carrera administrativa que se ajuste a la planta de personal y a las necesidades de la UDS</t>
  </si>
  <si>
    <t>Consejo de Salud</t>
  </si>
  <si>
    <t>Acto administrativo  aprobatorio del proceso de carrera administrativa en la uds</t>
  </si>
  <si>
    <t xml:space="preserve">Se hizo presentación al Consejo de Salud del organograma institucional para su revisón y aprobación y de el depende el plan de cargos y el nuevo manual de funciones de la UDS. Está pendiente la aprobación del acta y del organigrama.
Seguimiento 2023-2: Se solicitó información con oficio 2.6-52.18/322 del 16/11/2023, sin obtener respuesta de avances. 
I semestre 2024: 
No se presentan avances
Se ha solicitado a la oficina juridica revisión de la normatividad que rige a la Unidad en aras de evaluar que normas están vigentes
</t>
  </si>
  <si>
    <t xml:space="preserve">Construcción de actos administrativos adolecen de fallas de técnica jurídica: ° La consideración o motivación: Las resoluciones carecen de un fundamento jurídico y una adecuada motivación que justifiquen el acto. . </t>
  </si>
  <si>
    <t>Contratar o vincular  un profesional del derecho para que desarrolle las actividades jurídicas de la Unidad de Salud</t>
  </si>
  <si>
    <t xml:space="preserve">Contrato o vinculación realizada </t>
  </si>
  <si>
    <t>Se realizó la CPS de un Jurídico de apoyo a las gestiones de la Unidad de Salud</t>
  </si>
  <si>
    <t>Verificada la contratación del personal.</t>
  </si>
  <si>
    <t>Las carpetas de historias laborales presentan falta de algunos tipos documentales como: análisis de cumplimiento de requisitos; declaración juramentada de bienes y rentas, debidamente diligenciado y actualizado; documentos que acrediten procesos de inducción, reinducción y empalme; certificados médicos de ingreso y periódicos (Acuerdo 007 de 2006 y Decreto 1083 de 2015).</t>
  </si>
  <si>
    <t>Revisón in situ de las carpetas de historias laborales</t>
  </si>
  <si>
    <t>Se verificó la organización documental en orden cronológico en el seguimiento de junio.</t>
  </si>
  <si>
    <t xml:space="preserve">Se evidencia contratación de personal de apoyo administrativo y asistencial con asignación de funciones permanentes vinculados en forma consecutiva, 2017 – 2019. </t>
  </si>
  <si>
    <t xml:space="preserve">Se hizo presentación al Consejo de Saluid del organograma institucional para su revisón y aprobación y de el depende el plan de cargos y el nuevo manual de funciones de la UDS. Está pendiente la aprobación del acta y del organigrama.
Seguimiento 2023-2: Se solicitó información con oficio 2.6-52.18/322 del 16/11/2023, sin obtener respuesta de avances. 
I semestre 2024: 
La nueva Dirección indica que para avanzar en la implementación del SOGCS, es necesario realizar la actualización de la planta de la Unidad de acuerdo a los lineamientos de los Decretos 2489-2006 y 1083 de 2015, proceso en el que se ha avanzado con el acompañamiento de un profesional para este tema, está pendiente la entrega final del documento para poder presentarlo al Consejo de Salud  para que surta su proceso de aprobación y luego al Consejo Superior para su aprobación e implementación.
</t>
  </si>
  <si>
    <t>Cuando se presentan en forma permanente durante algunos períodos, se solicitan por el empleado al Jefe Financiero, quien avala como reconocimientos posteriores a su causación para la firma de la Dirección, en contravía del Decreto 1042 de 1978 Art. 33 y ss, y el Acuerdo interno 007 del 2006 que exige requisitos previos.Las horas extras y recargos nocturnos ocasionales se reconocen con días compensatorios.</t>
  </si>
  <si>
    <t xml:space="preserve"> Acta Sesión Extraordinaria CS 16/05/23 Entregada
Acta 025 Centro de Gestión de Calidad 15/06/23
Sin reporte de evidencias para el seguimiento II semestre 2023
I semestre 2024: 
Sin evidencia presentada
La OCI realizó visita in situ para ampliar la información recibida y resolver algunas inquietudes, según acta 2.6-3.49/11 del 03/09/2024</t>
  </si>
  <si>
    <t>Se hizo presentación al Consejo de Saluid del organograma institucional para su revisón y aprobación y de el depende el plan de cargos y el nuevo manual de funciones de la UDS. Está pendiente la aprobación del acta y del organigrama.
Seguimiento 2023-2: Se solicitó información con oficio 2.6-52.18/322 del 16/11/2023, sin obtener respuesta de avances. 
I semestre 2024: 
La nueva Dirección indica que para avanzar en la implementación del SOGCS, es necesario realizar la actualización de la planta de la Unidad de acuerdo a los lineamientos de los Decretos 2489-2006 y 1083 de 2015, proceso en el que se ha avanzado con el acompañamiento de un profesional para este tema, está pendiente la entrega final del documento para poder presentarlo al Consejo de Salud  para que surta su proceso de aprobación y luego al Consejo Superior para su aprobación e implementación.
El avance pasa del 0% al 30%</t>
  </si>
  <si>
    <t>Sobre el procedimiento Evaluación del Desempeño de Empleados de Carrera Administrativa se encontró:° Se aplican los mismos criterios de evaluación a los 3 empleados, no obstante, su diferencia en nivel, funciones y competencias.
° Sin cumplimiento a la concertación de objetivos y la formulación de planes de mejoramiento individual o compromisos de acuerdo con sus resultados.
° Las historias laborales no registran el histórico de evaluación.
° No se cuenta con informe consolidado de resultados y análisis.</t>
  </si>
  <si>
    <t>Debilidades en el procedimiento de evaluación al desempeño de emepleados de carrera</t>
  </si>
  <si>
    <t>Ninguno. TTHH de UDC da las directrices y así se está haciendo.</t>
  </si>
  <si>
    <t>Certificaciones Evaluiación Desempeño Ma Carme Salazar 2021 - 2023</t>
  </si>
  <si>
    <t>Se realizaron las evaluaciones de desempeño de los dos funcionarios en carrera administrativa.</t>
  </si>
  <si>
    <t>Las historias laborales sin aplicar el orden original y/o numero de orden,parcialmente actualizadas,uso de material metalico y duplicidad de documentos y diligenciados a lapiz.</t>
  </si>
  <si>
    <t>VICERRECTORÍA ADMINISTRATIVA - DIVISIÓN DE GESTIÓN DEL TALENTO HUMANO</t>
  </si>
  <si>
    <t>PLAN DE MEJORAMIENTO INFORME 2.6-52.18/14 DE 2019 DE EVALUACIÓN AL PROCESO DE GESTIÓN HUMANA</t>
  </si>
  <si>
    <r>
      <t>Gestión
(</t>
    </r>
    <r>
      <rPr>
        <sz val="12"/>
        <color rgb="FFFFFFFF"/>
        <rFont val="Arial Narrow"/>
        <family val="2"/>
      </rPr>
      <t>% subsana la causa y hallazgo</t>
    </r>
    <r>
      <rPr>
        <b/>
        <sz val="12"/>
        <color rgb="FFFFFFFF"/>
        <rFont val="Arial Narrow"/>
        <family val="2"/>
      </rPr>
      <t>)</t>
    </r>
  </si>
  <si>
    <t>OBSERVACIÓN 1: Los Acuerdos 006 y 007 de 2006 en materia de gestión del talento humano, se encuentran sin actualizar a la luz de nuevas normas aplicables en cuanto a planes estratégicos del talento humano, manual de funciones, provisión de cargos de carrera, reubicación aplicable a planta global, liquidaciones de salario y prestaciones sociales (Decreto 1083 de 2015).
OBSERVACIÓN 46: La Universidad cuenta con el Acuerdo 006 de 2006 que crea y reglamenta el Sistema de Carrera Administrativa, cuya operatividad es deficiente como herramienta de soporte adecuado al proceso de gestión estratégica del talento humano, a partir de su ingreso y desarrollo bajo el principio del mérito.
OBSERVACIÓN 20: La persona con C.C. 1061534460 cargo: 4169-18 destino 116, fue vinculada por 8 días (15/02/2019 al 22/02/2019), situación no prevista en los Acuerdos 006 y 007 de 2006</t>
  </si>
  <si>
    <t xml:space="preserve">La normas internas no se ajustan a las Nuevas normas aplicables en cuanto a planes estratégicos del talento humano
Deficientes controles en la vinculación de perosnal asociados a la norma </t>
  </si>
  <si>
    <t>Ajustar las normas relativas a gestión del talento humano</t>
  </si>
  <si>
    <t>Modificar los acuerdos 006 y 007 de 2006</t>
  </si>
  <si>
    <t>acuerdos modificados</t>
  </si>
  <si>
    <t>PROFESIONAL ESPECIALIZADO DGTH</t>
  </si>
  <si>
    <t>Acuerdos</t>
  </si>
  <si>
    <t>OBSERVACIÓN 58 - 59: Se insiste en la aplicación de los procedimientos aprobados en los Acuerdo 006 y 007 de 2006, así como el Decreto 1042 de 1978.</t>
  </si>
  <si>
    <t xml:space="preserve">Indebido procedimiento para la autorización de horas extras y recargos nocturnos. </t>
  </si>
  <si>
    <t>Ajustar las herramientas que soportan el procedimiento de reconocimiento de horas extras y recargo nocturno.</t>
  </si>
  <si>
    <t>Actualizar el Procedimiento de reconocimiento de horas extras y recargo nocturno y demás instrumentos para su operación.</t>
  </si>
  <si>
    <t>Procedimiento e instrumentos Actualizados</t>
  </si>
  <si>
    <t>Procedimiento, formatos, actos administrativos</t>
  </si>
  <si>
    <t> PA-GA-5.1-PR-23 de Liquidación de Horas Extras, Dominicales, Festivos y Recargo Nocturno del 14-09-2022.</t>
  </si>
  <si>
    <t xml:space="preserve">- Se cuenta con el  procedimiento PA-GA-5.1-PR-23 de Liquidación de Horas Extras, Dominicales, Festivos y Recargo Nocturno del 14-09-2022.
- Se realizaron capacitaciones en conjunto con la OCI en el Área de Seguridad, Control y Movilidad.
- Se crearon formatos para la planeación y autorización.
OCI: El porcentaje de avance pasa de 60% a 100%.
</t>
  </si>
  <si>
    <t>OBSERVACIÓN 4: El Acuerdo 085 de 2008 que reglamenta el otorgamiento de estímulos para personal activo, ocasional, catedrático, pensionados y estudiantes regulares, no se ajusta a la Constitución Política, a las normas nacionales (Decreto 1083 del 2015), y a los acuerdos internos (Acuerdo 006 del 2006), como elemento para el desarrollo de los planes de bienestar e incentivos; su ambigüedad ha dado pie a múltiples interpretaciones, entre otras, hacer extensibles sus beneficios a empleados provisionales (transitorios), a conceder incentivos sin respaldo en estudios técnicos de necesidades de las dependencias, y reconocimientos sin tener en cuenta el buen desempeño de los empleados de carrera.</t>
  </si>
  <si>
    <t xml:space="preserve">No se evidencia ajuste entre la normatividad interna y externa </t>
  </si>
  <si>
    <t xml:space="preserve">Ajustar las normas normas relacionadas con planes de bienestar e incentivos </t>
  </si>
  <si>
    <t>Modificar  el Acuerdo 085 de 2008, en lo relativo a estímulos para admnistrativos</t>
  </si>
  <si>
    <t>Acuerdo Modificado</t>
  </si>
  <si>
    <t>Acuerdo y/o evidencias de estudio de viabilidad</t>
  </si>
  <si>
    <t>OBSERVACIÓN 5: Presentan debilidades metodológicas de construcción, no se apegan a la normativa que los regula, ni se encuentran ajustados a la nueva denominación del Mapa de Procesos “Gestión Administrativa y Financiera” (Resolución R- 104 de 2018), lo que en algunos casos les impide ser referentes de operación</t>
  </si>
  <si>
    <t>Los procedimientos no se han actualizado conforme a las mejoras de las actividades en el contexto real administrativo.</t>
  </si>
  <si>
    <t>Revisar y Actualizar los procedimientos relativos al manejo del talento humano</t>
  </si>
  <si>
    <t>Revisar los procedimientos documentados en el proceso de Gestión del Talento Humano, para verificar si están o no ajustados a la nueva denominación del Mapa de Procesos “Gestión Administrativa y Financiera”. Si es el caso, ralizar ajuste y actualización. (PA-GA-5.1-PR-3 "Liquidación de Nómina", PA-GA-5.1-PR-11 "Induccción y Reinducción Conoce tu Universsidad", PA-GA-5.1-PR-12 "Capacitación y Formación", PA-GA-5.1-PR-14 "Bienestar Laboral e Incentivos", PA-GA-5.1-PR-16 "Evauación del desempeño de empleado de carrera administrativa", PA-GA-5.1-PR-21 "Retiro de Funcionarios", PA-GA-5.1-PR-24 "Solicitud de permiso remunerado para ausentarse del área de trabajo", PA-GA-5.1-PR-27 "Entrega de Cargo por Traslado", PA-GA-5.1-PR-26 "Solicitud de Suspensión o disfrute de Vacaciones", PA-GA-5.1-PR-25 "Solicitud de retiro parcial o definitivo de cesantías", PA-GA-5.1-PR-23 "Horas extras, dominicales, festivos, y Recargos Nocturnos", PA-GA-5.1-PR-17 "Actualización y cobro de cuotas partes pensiones a favor").</t>
  </si>
  <si>
    <t>Procedimientos ajustados</t>
  </si>
  <si>
    <t xml:space="preserve">Procedimientos actualizados en pagina Institucional </t>
  </si>
  <si>
    <t>OBSERVACIÓN 60: Frente a las licencias ordinarias (Acuerdo 007 de 2006 y Art. 2.2.5.5.5. del Decreto 1083 de 2015 modificado por el 648 de 2017), se encontró que:
• No se ha documentado el procedimiento.
• No se provisionan todos los cargos de las licencias no remuneradas, en garantía de la continuidad de la prestación del servicio.
• La normativa interna no regula la provisión temporal de los cargos que se otorgan por licencias ordinarias, evidenciando nombramientos provisionales por 9 días o hasta 3 meses.
• La resolución de autorización carece de motivación, y se fundamenta en la parte resolutiva.                                                                                                                                            • Solicitudes posteriores a su otorgamiento.</t>
  </si>
  <si>
    <t>No hay un procedimiento documentado, por los vacíos en la normatividad.</t>
  </si>
  <si>
    <t>Plantear una propuesta de procedimiento</t>
  </si>
  <si>
    <t>planteamiento de un procedimiento frente a las licencias ordinarias.</t>
  </si>
  <si>
    <t>Procedimiento e instrumentos Documentados</t>
  </si>
  <si>
    <t xml:space="preserve">Em el I semestre 2023 se reportó Resoluciones Rectorales R-0493 24-04-2023 y R-0056 25-01-2023
Con oficio 5.1-52.20/998 del 22 de noviembre de 2023, la División de Gestión del Talento Humano reportó:
Guía de situaciones administrativas en versión 1 del 1/11/2023, la cual prevé la tipología y el procedimiento para la autorización de licencias remuneradas y no remuneradas.  
En la situación administrativa de comisión, se requiere ajustar la competencia para autorizar comisiones académicas al exterior de profesores y los que ejercen cargo académico administrativo, la cual fue delegada al rector por el Consejo Superior mediante Acuerdo 047 de 2022. (Ver página 14). 
</t>
  </si>
  <si>
    <t xml:space="preserve">Se actualizó la guía que contempla todas las situaciones administrativas, entre ellas las licencias ordinarias. se asigna avance de 100%
La OCI verificará la efectividad de la acción de mejoramiento. </t>
  </si>
  <si>
    <t>OBSERVACIÓN 61:  La licencia se autoriza de oficio o a solitud de parte debido a incapacidad médica expedida por competente, y debe constar en acto administrativo motivado, (Acuerdo 007 de 2007 y Art. 2.2.5.5.11 del Decreto 1083 de 2015 modificado por el 648 de 2017), se encuentra:
° No se ha documentado el procedimiento.
° No se provisionan todos los cargos en garantía de la continuidad del servicio, cuando las licencias superan los 30 días.
° Carpetas C.C. 10294423 y 10295400: para el otorgamiento de la licencia de paternidad no se evidencia copia de la solicitud y certificado de nacido vivo o copia simple del registro civil de nacimiento.</t>
  </si>
  <si>
    <t>No hay un procedimiento documentado</t>
  </si>
  <si>
    <t>Revisión de la normatividad existente, interna y externa que permita el planteamiento ajustado a ello, de un procedimiento frente a las licencias ordinarias.</t>
  </si>
  <si>
    <t xml:space="preserve">Con oficio 5.1-52.20/998 del 22 de noviembre de 2023, la División de Gestión del Talento Humano reportó:
Guía de situaciones administrativas en versión 1 del 1/11/2023, la cual prevé la tipología y el procedimiento para la autorización de licencias remuneradas y no remuneradas.  </t>
  </si>
  <si>
    <t>OBSERVACIÓN 68: ° El permiso para docencia no considera las condiciones reglamentarias de otorgamiento.
° Sin formalización de controles y registros consolidados sobre la concesión.
° Según los reportes SIMCA 23 servidores orientan clases en programas de pregrado de la Universidad.
° Sin evidencia de solicitudes, estudios de viabilidad sobre las incidencias en la prestación del servicio, resoluciones de permiso y plan de recuperación del tiempo concedido.</t>
  </si>
  <si>
    <t>No se realiza regsitro para el seguimiento y justificación de algunas solicitudes de permiso</t>
  </si>
  <si>
    <t>Realizar el seguimiento y justificación de algunas solicitudes de permiso, armonizando con la normatividad y los controles necesarios</t>
  </si>
  <si>
    <r>
      <t>Revisar los procedimientos de otorgamiento de permiso para docencia, articular con la Dependencia encargada de este procedimiento para consolidar información y llevar un control por medio de una relación de servidores que orientan cátedra.</t>
    </r>
    <r>
      <rPr>
        <sz val="10"/>
        <color rgb="FF000000"/>
        <rFont val="Arial"/>
        <family val="2"/>
      </rPr>
      <t xml:space="preserve"> </t>
    </r>
    <r>
      <rPr>
        <i/>
        <sz val="10"/>
        <color rgb="FF000000"/>
        <rFont val="Arial"/>
        <family val="2"/>
      </rPr>
      <t>(Dcocumentar y rezalira con la observación 5)</t>
    </r>
  </si>
  <si>
    <t>Permisos para docencia registrados</t>
  </si>
  <si>
    <t>Documento/relación de servidores catedráticos</t>
  </si>
  <si>
    <t>OBSERVACIÓN 15: El Plan no determina los beneficios exclusivos para empleados de carrera, considerados legalmente con preferencia y exclusividad frente a algunos derechos laborales.
Se diseñó bajo 8 puntos:
• Incentivo técnico por esfuerzo laboral sobresaliente
• Estímulo por participación deportiva y/o cultural
• Reconocimiento público
• Incentivo disfrute de matrimonio
• Inventivo bono consumible cumpleaños
• Incentivos labor meritoria
• Estímulo Académico Pregrado y Posgrado
• Estímulos Becas Posgrado</t>
  </si>
  <si>
    <t>No existe una estrategia que considere beneficios exclusivos o de prioridad a los empleados de carrera</t>
  </si>
  <si>
    <t>Proponer estategias dentro de las actividades del Plan de Incentivos, por medio de las cuales se le de prioridad a los empleados públicos de Carrera Administrativa antes de los cargos nombrados en provisionalidad, en caso de empate o situaciones que puedan generar controversia en el proceso de entrega de incentivos.</t>
  </si>
  <si>
    <t xml:space="preserve">Generar desde la División de Gestión del Talento Humano como equipo encargado de la ejecución del SIGLA, la propuesta al comité que permita ajustar los lineamientos de entrega de algunos incentivos en los cuales se pueden dar situaciones que requieran de dar prioridad a un funcionario de carrera. </t>
  </si>
  <si>
    <t>Propuesta para comité del SIGLA
(Oficio).
Documento proyectado con las propuestas para aprobación  del COMITÉ SIGLA</t>
  </si>
  <si>
    <t>Propuestas proyectada y aprobada</t>
  </si>
  <si>
    <t>Prouesta de SIGLA 2.0 por aporbación ante las Directivas</t>
  </si>
  <si>
    <t>Los servidores de la División expresan la necesidad de formular nuevas estrategias dentro de la actualización al SIGLA para los empleados de carrera administrativa.
En el Manual de ejecución del SIGLA 2.0, en la página 3 se encutnra relacionada la prioridad para los beneficios de los empleados de carrera.
OCI: Se mantiene el porcentaje de avance.
OCI: El porcentaje de avance pasa de 0% a un 90%.
10% de avance supeditado a su aprobación</t>
  </si>
  <si>
    <t xml:space="preserve">OBSERVACIÓN 30: El Cargo de Profesional Especializado 2028-15 de libre nombramiento adscrito a la División de Admisiones, Registro y Control Académico-DARCA, fue reubicado a la Vicerrectoría Académica, afectando la estructura del manual de funciones, que lo contempla como un cargo estático para la DARCA. </t>
  </si>
  <si>
    <t>Se reubica al funcionario por enfermedad laboral</t>
  </si>
  <si>
    <t>Realizar seguimiento y control a la reubicación.</t>
  </si>
  <si>
    <t>Realizar seguimiento por parte del Área de Seguridad y Salud en el Trabajo a la reubicación para hacer consulta jurídica e implementar compromisos y planes de mejora indivdual.</t>
  </si>
  <si>
    <t>Diagnóstico realizado y  registro de seguimiento  de mejoras implementadas</t>
  </si>
  <si>
    <t>Diagnóstico / Registros</t>
  </si>
  <si>
    <t> Se presenta el Acta 5.1.4-1.59/02 de 2022  donde consta información sobre reubicaciones en el periodo y un informe con indicadores anual, el cual se sugiere considerar para la toma de decisiones relacionadas con la gestión humana.</t>
  </si>
  <si>
    <t xml:space="preserve">La OCI sugiere que la División consolide la información de reubicación de los servidores universitarios y realice un diagnóstico sobre las principales causas.
Se realizó el correctivo respecto de la situación detectada.
Se presenta el Acta 5.1.4-1.59/02 de 2022  donde consta información sobre reubicaciones en el periodo y un informe con indicadores anual, el cual se sugiere considerar para la toma de decisiones relacionadas con la gestión humana.
OCI: El porcentaje de avance pasa de 20% a un 100%.
</t>
  </si>
  <si>
    <t>OBSERVACIÓN 31: Pese a que la Universidad del Cauca cuenta con personal de Carrera pre-pensionado o con cumplimiento de requisitos de pensión y con un alto porcentaje de decrecimiento, no ha implementado estrategias de relevo generacional, ni preparación para su retiro en cumplimiento del Decreto 1083 de 2015.</t>
  </si>
  <si>
    <t>Falta de estrategias y actividades frente al tema de prepensionados</t>
  </si>
  <si>
    <t>Desarrollar o articular las estrategias en el tema de Pre-pensionados</t>
  </si>
  <si>
    <t>Estudiar las estrategias que la Universidad del Cauca venia trabajando frente al tema pre-pensionados, adicional al tema de relevo generacional para plantear la estrategia pertinente y actualizar el cumplimiento al decreto 1083 de 2015, articulando acciones del Plan de Bienestar SIGLA con las distintas actividades que se realizan referentes al tema pre-pensionados</t>
  </si>
  <si>
    <t>Actividades y acciones propuestas y/o articuladas</t>
  </si>
  <si>
    <t xml:space="preserve">Registros </t>
  </si>
  <si>
    <t xml:space="preserve">Se evidencian registros de capacitaciones y estrategias de relevo generacional y una propuesta individual de concurso proyectada desde el Comité de Carrera.
OCI: El porcentaje de avance pasa de 0% a un 100%.
</t>
  </si>
  <si>
    <t>OBSERVACIÓN 42: No se evidencia el cumplimiento de las actuaciones de inducción, empalmes y notificación del acto administrativo de nombramiento, aceptación del cargo y suscripción del compromiso de confidencialidad cuando aplica (Acuerdo 007 de 2006 y Decreto 1083 de 2015).</t>
  </si>
  <si>
    <t>Falta documentación de las actividades de inducción, reinducción y empalme</t>
  </si>
  <si>
    <t>Documentar y presentar evidencia</t>
  </si>
  <si>
    <t>Documentar el cumplimiento de las actuaciones de conformidad con la normatividad interna y externa que dispone las pautas adecuadas y procedimientos pertinentes.</t>
  </si>
  <si>
    <t>Heramientas de Empalmes y/o entregas de cargos actualizadas e implementadas</t>
  </si>
  <si>
    <t>Registros formato, acta</t>
  </si>
  <si>
    <t>OBSERVACIÓN 38: Se asignan funciones administrativas de nivel directivo a personal de planta docente, sin embargo, la asignación de funciones sólo se puede realizar respecto de cargos de la misma naturaleza; es limitada en el tiempo y se refiere a un marco funcional y concreto relacionado directamente con el cargo. (Sentencia T-105 de 2002 de la Corte Constitucional y Art. 2.2.5.5.52 del Decreto 1083 de 2015 modificado por el 648 de 2017).</t>
  </si>
  <si>
    <t>Falencia en la técnina jurídica para la contrucción de los actos administrativos de docentes en cargos - académico adminsitrativos</t>
  </si>
  <si>
    <t>Ajustar e implementar los modelos de actos administrativos</t>
  </si>
  <si>
    <t>Actualizar los modelos de actos administrativos respecto a casos como los contemplados en la Observación 38 con el fin de implementarse de la manera correcta según la normatividad vigente</t>
  </si>
  <si>
    <t>Actos adminitrativos ajustados</t>
  </si>
  <si>
    <t>acto administrativo</t>
  </si>
  <si>
    <t xml:space="preserve">Comunicado: http://www.unicauca.edu.co/versionP/documentos/comunicados/comunicado-sobre-firma-yo-suscripci%C3%B3n-en-documentos-institucionales-con-la-menci%C3%B3n-del-cargo-corr                                                           Se anexa el cronograma de Reinducción y su programa.  https://drive.google.com/file/d/1xksKJ3tlGq5DNmOiP8jdR6Ku-Xdcp4I7/view?usp=sharing                                                    También se anexan las presentaciones socializadas a cada uno de los grupos diferenciados por cargo. https://drive.google.com/drive/folders/13sazZA_V27W5K1AzcoWxjpa_nqXPLytP?usp=sharing                                                    Listado de asistencia a la reinducción.  https://drive.google.com/file/d/1SAlLVEVuKecxWFDR0yQ9TWdbkQVWncZQ/view?usp=sharing </t>
  </si>
  <si>
    <t>Acta de seguimiento 2.6-1.60/05 de 2022
Se presentan actos administrativos ajustados a la técnica jurídica que corresponde.
OCI: El porcentaje de avance pasa de 30% a un 100%.</t>
  </si>
  <si>
    <t>OBSERVACIÓN 39: Docente ostenta 2 cargos académico – administrativo durante el 01 de agosto y el 12 de septiembre de 2017 (Director de Centro y Decano), según Resoluciones Superiores 043 y 049 de 2017.</t>
  </si>
  <si>
    <t xml:space="preserve">No hubo revisión de procesos para la asignación de cargo </t>
  </si>
  <si>
    <t>Actualizar los modelos de actos administrativos respecto a casos como los contemplados en la Observación 39 con el fin de implementarse de la manera correcta según la normatividad vigente</t>
  </si>
  <si>
    <t>OBSERVACIÓN 87: Los controles hacen parte del mínimo que hacer de la dependencia, con lo que no contrarrestan por si solos las causas del riesgo.
El ejercicio auditor muestra que el control no se aplica, al constatar en las historias laborales la falta de algunos soportes de análisis ( PA-GA-5.1-FOR-44).</t>
  </si>
  <si>
    <t>Falta de controles adicionales al Plan de Gestión documental</t>
  </si>
  <si>
    <t xml:space="preserve">Formular plan de trabajo de Organización Documental para cumplir con los procesos </t>
  </si>
  <si>
    <t xml:space="preserve"> Continuar con el trabajo del plan para alcanzar mayor porcentaje de avance.</t>
  </si>
  <si>
    <t>Plan de Trabajo ejecutado</t>
  </si>
  <si>
    <t>Documento/registros/Plan</t>
  </si>
  <si>
    <t xml:space="preserve">Plan de Trabajo Archivo de Historias Laborales.  https://drive.google.com/file/d/1z0dtt2XbCbygBe0qZCCAQA8-UUK5s96Z/view?usp=sharing                       </t>
  </si>
  <si>
    <t xml:space="preserve">Se evidencia plan de trabajo, sin embargo se determinará un mayor nivel de avance conforme a la implementación.
Se presenta un Plan de mejoramiento de gestión documental, 2022 a 2026. Se reorganizó la gestión documental desde el año 2000 y por verificar la implementación. La Gestión documental  de las historias laborales se encuentra  clasificado  hasta el año 2020, falta organización  conforme a las directrices de AGN.
OCI: El porcentaje de avance pasa de 50% a 100%.
</t>
  </si>
  <si>
    <t>OBSERVACIÓN 88: • Documentos diligenciados a lápiz, (Formato de Cumplimiento de requisitos)
• Certificación de experiencia sin firmas
• Faltan firmas en solicitudes de suspensión de vacaciones.
• Duplicidad de documentos en historias laborales.
• Historias laborales parcialmente actualizadas y sin tipos documentales establecidos en la Tabla de Retención Documental.</t>
  </si>
  <si>
    <t>Retraso en la actualización y revisión de las Historias Laborales, sólo que falta disposición final</t>
  </si>
  <si>
    <t>Continuar revisando los documentos que reposan en las hojas de vida, para corregir si hay alteraciones que nos correspondan, de igual manera actualizar los documentos que se deben relacionar según la Tabla de Retención Documental.</t>
  </si>
  <si>
    <t xml:space="preserve">Plan de Trabajo Archivo de Historias Laborales.  https://drive.google.com/file/d/1z0dtt2XbCbygBe0qZCCAQA8-UUK5s96Z/view?usp=sharing                                                                                                    Revisión de Requisitos Historias Laborales                           https://drive.google.com/file/d/18xvlgnnXoj-Sc4QEc_XAXF0qIEuFPN5C/view?usp=sharing </t>
  </si>
  <si>
    <t>OBSERVACIÓN 48:  Sobre la rotación se encontró que:
° No se encuentran registros sobre antecedentes individuales de rotación del personal, excepto por el acto administrativo que la ordena o reconoce.
° No se realiza un análisis sobre las dependencias que presentan mayor frecuencia de rotación del personal, frente a sus causas y soluciones.
° No se cuenta con estadísticas de rotación por funcionario, ni registros de análisis y seguimiento a sus causas con sus acciones de manejo.
° Se aplican indistintamente las figuras de reubicación del cargo y reubicación del personal por vacancia definitiva de empleos, con movimiento de cargos a través del encargo o de nombramientos provisionales, sin justificaciones en estudios de necesidad del servicio de las dependencias involucradas, y sin modificación de funciones del encargado o nombrado.
OBSERVACIÓN 50: En la reubicación de empleados públicos se encontró:
• De las historias laborales revisadas 18 servidores fueron reubicados, sin embargo, no se encontró evidencia de dichos actos en 27,7%.
• Procedimiento de reubicación de empleados que no cuentan con soportes acerca de: requerimientos de dependencias o procesos, estudio de perfiles frente al cargo y funciones, registro de análisis de planta; estudios médicos ocupacionales que la avalen, análisis de requisitos para desempeñarse en la nueva dependencia, empalme y reinducción de quien asumirá sus funciones.
:OBSERVACIÓN 51: • Un 16% (11) Trabajadores Oficiales han sido reubicados por razones de salud, a través de oficios o actos administrativos, de los cuales siete (7) desempeñan actividades de archivo o secretaría, alterando la categoría de servidor.
• Las reubicaciones de trabajadores oficiales no cuentan con estudios previos de necesidades de las dependencias y análisis de la adecuación de perfiles profesionales.
• Se asignan funciones propias de un empleo público a trabajadores oficiales a través de oficios, sin dejar registro en los contratos de trabajo, sobre sus nuevas condiciones.
• Se encontraron 2 reubicaciones mediante acto administrativo (Resoluciones).</t>
  </si>
  <si>
    <t xml:space="preserve">no se detectó la necesidad de documentar o registrar la rotación y reubicación, más allá del regsitro de novedad nómina o actualización de datos en sistemas de recursos humanos.
No hay un Plan que direccione la reubicación de Trabajadores Oficiales por razones de salud </t>
  </si>
  <si>
    <t xml:space="preserve">Estrategia para hacer el seguimiento a las rotaciones y reubicaciones  </t>
  </si>
  <si>
    <t xml:space="preserve">Plantear una estrategia para hacer el seguimiento a las rotaciones y reubicaciones de empleado público y trabajadores oficiales, incluyendo la revisión de la normatividad para los modelos de actos administrativos que se requieran  </t>
  </si>
  <si>
    <t>Estrategia ejecutada</t>
  </si>
  <si>
    <t>Registros/documentos de seguimiento/encuestas/formatos</t>
  </si>
  <si>
    <t>Acta 5.1.4-1.59/02 de 2022</t>
  </si>
  <si>
    <t>Se presenta el Acta 5.1.4-1.59/02 de 2022  donde consta información sobre reubicaciones en el periodo y un informe con indicadores anual, el cual se sugiere considerar para la toma de decisiones relacionadas con la gestión humana.
OCI: El porcentaje de avance pasa de 20% a un 100%.
.</t>
  </si>
  <si>
    <t>OBSERVACIÓN 67: • No se encuentran formalizados controles, ni registros consolidados sobre esta situación administrativa.
• Resolución sin motivación VADM 214 de 18/02/2016 autorizó extemporáneamente el permiso remunerado para estudios de 4 a 6 pm del 12 de febrero a 17 de junio de 2016; sin soportes que sustenten el permiso.
• No se formalizan condiciones ni compromisos previos, concomitantes y posteriores para el otorgamiento y mantenimiento de permiso para estudios.</t>
  </si>
  <si>
    <t xml:space="preserve">A la fecha de expedición del Acto Administrativo, no se realizaban los controles y registros pertinentes </t>
  </si>
  <si>
    <t>Realizar control a la expedición de Actos Admnistrativos</t>
  </si>
  <si>
    <t>Hacer seguimiento, Revisión para tomar medidas correctivas a  los futuros Actos Administrativos, teniendo en cuenta los compromisos y soportes que sustenten los permisos. Revisar y actualizar si es necesario los procedimientos y formatos que intervienen en los permisos.
Por realizar (recolección de firmas de manera física para corregir documentos que se encuentran en digital).</t>
  </si>
  <si>
    <t>Documentos actualizados, actos administrativos implementados</t>
  </si>
  <si>
    <t>Actos administrativos/documentos</t>
  </si>
  <si>
    <t xml:space="preserve">Seguimiento Observación 67     https://drive.google.com/file/d/12gYOe1xeVj-VrFByGT0aklDhNm20tOdA/view?usp=sharing </t>
  </si>
  <si>
    <t>Acta de seguimiento 2.6-1.60/05 de 2022
Se presentan actos administrativos ajustados a la técnica jurídica que corresponde.
OCI: El porcentaje de avance pasa de 80% a un 100% .</t>
  </si>
  <si>
    <t>OBSERVACIÓN 79: Sin formal aprobación de la Política de Seguridad y Salud en el Trabajo, comunicada a través del portal web el 22 de febrero de 2018, con vigencia a partir del 27 de agosto del 2017.
La expedición de la Política de Seguridad y Salud en el Trabajo desconoce las formalidades del Acuerdo 105 de 1993, restando fuerza vinculante, debido a que su adopción no ha surtido el trámite en el Consejo Superior competente en la materia.</t>
  </si>
  <si>
    <t>Desconocimiento del procedimiento actual sobre aprobación de políticas</t>
  </si>
  <si>
    <t>Adopción de la política de Seguridad y Salud en el Trabajo.</t>
  </si>
  <si>
    <t>Presentar de la política en Seguridad y Salud en el Trabajo ante el consejo superior, y obtener así la aprobación según la reglamentación institucional interna</t>
  </si>
  <si>
    <t xml:space="preserve">Acto admnistrativo aprobado </t>
  </si>
  <si>
    <t>Acuerdo/Resolución</t>
  </si>
  <si>
    <t>Se excluye del Plan por cuanto es un hallazgo considerado dentro del PM de SSST</t>
  </si>
  <si>
    <t>OBSERVACIÓN 81: • No se realiza seguimientos a la totalidad de las obras y algunos de los que se realizan son inoportunos.
• Algunos conceptos formalmente emitidos por el Área de Seguridad y Salud en el Trabajo, no se tienen en cuenta para la ejecución de los proyectos de obra, impidiendo la implementación del SGSST.
• Los conceptos para la sustitución de insumos o sustancias agentes de riesgo utilizadas en los laboratorios de la Universidad, no se toman en cuenta en todas las dependencias implicadas.
• Inefectividad de los controles de uso de los elementos de protección personal.
• Se realiza seguimiento a algunas de las recomendaciones del Plan de Higiene y Seguridad Industrial.
• No se cuenta con un plan de acción que establezca los seguimientos periódicos a las dependencias de mayor riesgo.
• Las instalaciones de la Universidad no cuentan con puntos de anclaje para las líneas de vida, frente a lo cual el ASST ha realizado diversas gestiones de implementación.</t>
  </si>
  <si>
    <t xml:space="preserve">Falta de personal y y dificultad en la articulación de los planes y proyectos. </t>
  </si>
  <si>
    <t xml:space="preserve"> Realizar Actividades de Gestión que permitan llevar un control del trabajo de SST en las distintas obras.</t>
  </si>
  <si>
    <t>Solicitar a la vicerrectoría administrativa el inicio de las obras, para realizar la adecuada coordinación y el seguimiento a los contratistas en el momento oportuno, logrando el mayor cubrimiento y cumplimiento de medidas de SST.
El área informará a la DGTH el seguimiento en el uso de EPP.
Reiterar la solicitud a la oficina asesora de planeación de la necesidad de instalar los puntos de anclaje y líneas de vida en los edificios de la Universidad.
Incluir dentro del plan de trabajo anual el seguimiento a las recomendaciones y visitas de inspección a las dependencias con mayor riesgo.
actividad con avance de 50%, pendiente por realizar informe de seguimiento a obras.</t>
  </si>
  <si>
    <t>Informes de inspección presentados, Oficio solicitud puntos de anclaje enviado, Formato seguimiento a recomendaciones implementado.</t>
  </si>
  <si>
    <t>Informes/Oficio/ Formato</t>
  </si>
  <si>
    <t xml:space="preserve">Se solicitó su inclusión dentro del Plan de Desarrollo Institucional.
OCI: El porcentaje de avance pasa de 0% a un 100%
</t>
  </si>
  <si>
    <t>OBSERVACIÓN 82:
• Sin evidencia de la autoevaluación del 2017 y 2018.
• Plan de mejoramiento del 2017 no cuenta con indicadores de cumplimiento.
• Plan de seguridad en el trabajo 2018 sin información consolidada sobre su ejecución.
• Los exámenes médicos ocupacionales periódicos no se realizan anualmente a los servidores.
• No se realizan controles ni se toman medidas sobre el personal que no atiende a los exámenes médicos ocupacionales.
• La información que arrojan los exámenes médicos de ingreso, no se toma en cuenta para las medidas de seguimiento al servidor durante el transcurso de su vida laboral. (deben ser tratadas con las observaciones 80, o 81)</t>
  </si>
  <si>
    <t>Desactualización en el tratamiento de la información</t>
  </si>
  <si>
    <t>Actualización de la información mediante la debida documentación y evidencia / Gestión de recursos para mejorar alcance</t>
  </si>
  <si>
    <r>
      <t>Actualizar la documentación y evidencias que permitan consolidar la infomación referente a: auto-evaluación 2017 y 2018.
Indicadores de cumplimiento del plan de mejoramiento del año 2017.</t>
    </r>
    <r>
      <rPr>
        <sz val="10"/>
        <color rgb="FF000000"/>
        <rFont val="Arial"/>
        <family val="2"/>
      </rPr>
      <t xml:space="preserve">
• ejecución Plan de seguridad en el trabajo 2018
• Control y seguimiento en la Realización y resultado anual de Los exámenes médicos ocupacionales periódicos
• La información que arrojan los exámenes médicos de ingreso, no se toma en cuenta para las medidas de seguimiento al servidor durante el transcurso de su vida laboral.                                                                                                          Gestionar la contratación de un médico de medio tiempo para abarcar la totalidad de la población trabajadora.
Informar a la DGTH la insistencia reiterada de los trabajadores a las valoraciones medicas ocupacionales.
Actividad se encuentra con avance de 67%. Pendiente por realizar el seguimiento a los planes.</t>
    </r>
  </si>
  <si>
    <t>Informe de seguimiento y documentos entregados</t>
  </si>
  <si>
    <t xml:space="preserve">Informe </t>
  </si>
  <si>
    <t>OBSERVACIÓN 82:• El Área de Seguridad y Salud en el Trabajo no cuenta con Licencia de Salud Ocupacional que habilite sus servicios en salud (Resolución 2003 de 2014 MSPS).</t>
  </si>
  <si>
    <t>La planta o espacio fisico no cumple con los requerimientos de la Resolución de habilitación.</t>
  </si>
  <si>
    <t xml:space="preserve">Gestionar las solicitudes o acciones para una adecuación que permita el cumplimiento de estándares mínimos </t>
  </si>
  <si>
    <t>Gestionar ante la oficina asesora de planeación, la adecuación del espacio físico del Área de SST para cumplir con los requisitos de espacio establecidos en la norma.</t>
  </si>
  <si>
    <t>Solicitud y/o comunicación enviadas</t>
  </si>
  <si>
    <t>Oficio</t>
  </si>
  <si>
    <t>OBSERVACIÓN 77: No se mide el desempeño laboral, ni comportamental de los empleados provisionales, que superan la mitad de los empleados universitarios de planta.</t>
  </si>
  <si>
    <t>No se ha establecido un estudio, que permita la creación del procedimiento y los instrumentos necesarios para medir el desempeño laboral de los empleados públicos en provisionalidad.</t>
  </si>
  <si>
    <t>Proyectar el estudio normativo y teórico en temas de evaluación de desempeño laboral.</t>
  </si>
  <si>
    <t>Proyectar una revisión, normativa y teórica, que permita plantear una propuesta de procedimiento de evaluación del desempeño laboral para empleados públicos en provisionalidad.</t>
  </si>
  <si>
    <t>Informe técnico realizado</t>
  </si>
  <si>
    <t>VICERRECTORÍA ADMINISTRATIVA - DIVISIÓN DE GESTIÓN DEL TALENTO HUMANO - ÁREA DE SEGURIDAD Y SALUD EN EL TRABAJO</t>
  </si>
  <si>
    <t>INFORME 2.6-52.18/15 de 2022 EVALUACIÓN AL PROCESO DE IMPLEMENTACIÓN DEL SISTEMA DE GESTIÓN DE SEGURIDAD Y SALUD EN EL TRABAJO - SGSST</t>
  </si>
  <si>
    <t>Responsable del Sistema de Gestión de Seguridad y Salud en el Trabajo SG-SST: El nivel jerárquico y salarial del Responsable del SG-SST, es inferior al de quienes lo coordinan, según el Manual de funciones Profesional 2044 -7 a profesional 2044 – 9.  Además, el mismo relaciona diferentes coordinadores y/o supervisores del ASST, lo que dificulta una correcta aplicación de la cadena de mando</t>
  </si>
  <si>
    <t>Inadecuada asignacion de cargos para el area de SST</t>
  </si>
  <si>
    <t xml:space="preserve">Revisar y ajustar la estructura del area de SST </t>
  </si>
  <si>
    <t>Ajustar en el manual de funciones y competencias laborales la estructura del Área de SST</t>
  </si>
  <si>
    <t>Manual de funciones y competencias laborales ajustado
Estructura organica del Area de SST adecuada</t>
  </si>
  <si>
    <t>Profesional especializado de la Division de Gestion de Talento Humano</t>
  </si>
  <si>
    <t>Otro</t>
  </si>
  <si>
    <t>Asignación de recursos para el SG-SST: En los planes anuales allegados (2021-2022) no se evidencian registros de los recursos financieros, técnicos y tecnológicos y de personal según prioridades de SST, cronograma, disponibilidad y trazabilidad sobre su inversión o ejecución, como se establece en los artículos 2.2.4.6.8; 2.2.4.6.17 y 2.2.4.6.31 del Decreto Único Reglamentario 1072 de 2015.</t>
  </si>
  <si>
    <t xml:space="preserve">Falta precisar en los planes de Area de SST los recursos humanos, tecnicos, financieros y tecnologicos, </t>
  </si>
  <si>
    <t>Incluir en los planes del area de SST los recursos necesarios para la ejecucion.</t>
  </si>
  <si>
    <t>Modificar los formatos de planes del area de SST, incluyendo los recursos  humanos, tecnicos, financieros y tecnologicos para desarrollar las actividades.</t>
  </si>
  <si>
    <t>Planes del area de SST modificados</t>
  </si>
  <si>
    <t>Profesional Universitario del Area de SST</t>
  </si>
  <si>
    <t xml:space="preserve">Planes del area de SST modificados </t>
  </si>
  <si>
    <t xml:space="preserve">Plan de mejora, Plan de trabajo y plan de capacitacion modificados </t>
  </si>
  <si>
    <t>Se incluyeron dentro de los Planes de SST los  recursos humanos, técnicos, financieros y tecnológicos
Se otorga un avance del 100%</t>
  </si>
  <si>
    <t>“Conformación COPASST”: No se observa una operación conforme a las normas que lo regulan (Arts. 2.2.4.6.26 y 2.2.4.6.34 del Decreto Único Reglamentario 1072 de 2015 y Resolución 2013 de 1986). Sin evidencia de reuniones mensuales y seguimiento a compromisos tal como lo establecen el Decreto 1295 de 1994 y las Resoluciones 1401 de 2007 y 2013 de 1986.</t>
  </si>
  <si>
    <t>Debilidad en la operatividad del COPASST</t>
  </si>
  <si>
    <t>Designar y Elegir los integrantes del COPASST</t>
  </si>
  <si>
    <t xml:space="preserve">Solicitar al rector la designacion de los representantes por parte del empleador al COPASST
Adelantar la  eleccion de los representantes de los trabajadores ante el COPASST
</t>
  </si>
  <si>
    <t>Resolucion de integración COPASST aprobada</t>
  </si>
  <si>
    <t xml:space="preserve">Rector
Secretaria General 
Profesional Universitario del area de SST </t>
  </si>
  <si>
    <t>Talento Humano, Recursos Físicos</t>
  </si>
  <si>
    <t>Resolucion de conformacion del COPASST</t>
  </si>
  <si>
    <t>II semestre 2024: 
Con oficio 5.1.4-27.34/012 del 29/01/2025, el Área de Seguridad y Salud en el Trabajo remitió: 
Resoluciones R - 0829 del 06/08/2024 y R - 1308 del 29/10/2024
Además, la OCI realizó visita para complementar la información, como consta en acta Acta 2.6-3.49/02 del 06/02/2025</t>
  </si>
  <si>
    <t>Capacitación COPASST: Sin evidencia de la capacitación a integrantes del Comité, como lo establece el Art. 2.2.4.6.35 Decreto Único Reglamentario 1072 de 2015 y la Resolución 2013 de 1986.</t>
  </si>
  <si>
    <t>Falta de capacitacion a los integrantes del COPASST</t>
  </si>
  <si>
    <t xml:space="preserve">Incluir en el plan de capacitacion al COPASST
</t>
  </si>
  <si>
    <t xml:space="preserve">Incluir dentro del plan de capacitacion del año 2023 las tematicas referentes al SGSST que corresponden  a los integrantes del COPASST
</t>
  </si>
  <si>
    <t>Plan de capacitacion que incluya las actividades enfocadas al COPASST aprobado e implementado</t>
  </si>
  <si>
    <t xml:space="preserve">Plan de capacitacion ajustado 
Registros de asistencia a eventos institucionales
</t>
  </si>
  <si>
    <t xml:space="preserve">Programa Capacitación promoción y prevención – PyP: No determina las dependencias y/o grupos de servidores a quienes se dirigen las capacitaciones, incumpliendo el # 6 Art. 2.2.4.6.12 del Decreto Único Reglamentario 1072 de 2015.
Implementacion de medidas de prevencion y control de peligros /riesgos: falta de capacitacion sobre medidas de prevencion y control de riesgos </t>
  </si>
  <si>
    <t>Falta determinar en el plan de capacitacion de promoción y prevención las dependencias y/o grupos de servidores a los cuales se dirige la actividad.</t>
  </si>
  <si>
    <t xml:space="preserve">Determinar en el plan de capacitacion de promoción y prevención los grupos poblacionales a los cuales se dirige la actividad </t>
  </si>
  <si>
    <t xml:space="preserve">Incluir en el plan de capacitacion las dependencias a las cuales van dirigidas las capacitaciones 
</t>
  </si>
  <si>
    <t xml:space="preserve">Plan de capacitacion de promoción y prevención con grupos poblacionales definidos según la actividad
</t>
  </si>
  <si>
    <t xml:space="preserve">Formato del plan de capacitacion ajustado
Registros de asistencia a eventos institucionales </t>
  </si>
  <si>
    <t>Con oficio 5.1.4-52/525 del 24/11/2023 se reportó:
Registros de asistencia a capacitaciones y oficios de las convocatorias (departamento de física, geografia, educación física, matemáticas Química, aréa de mantenimiento, taller editorial, area de seguridad, desarrollo editorial, DAE, área de gestión documental, División de Gestión de la Investigación, Centro de Gestión de la Calidad, Centro de investigación historicas, CECA, entre otros)</t>
  </si>
  <si>
    <t>Se evidencia los listados de asistencia de las capacitaciones realizadas a las Dependencias Universitarias, por lo que se asigna avance de 100%.
Pendiente valoración de efectividad.</t>
  </si>
  <si>
    <t>Política del Sistema de Gestión de Seguridad y Salud en el Trabajo SG-SST firmada, fechada y comunicada al COPASST: Pese al cumplimento de lo dispuesto en los artículos 2.2.4.6.5 y 2.2.4.6.6 del Decreto Único Reglamentario 1072 de 2015 en lo relacionado con la suscripción por el representante legal, la Política de SGSST no ha surtido el trámite aprobatorio conforme a los lineamientos del Art. 13 del AS.105 de 1993, tampoco revisada ni actualizada según el numeral 5 artículo 2.2.4.6.6 del Decreto Único Reglamentario 1072 de 2015.</t>
  </si>
  <si>
    <t xml:space="preserve">Falta la aprobacion de la Política de SGSST por parte del consejo superior </t>
  </si>
  <si>
    <t xml:space="preserve">Dar cumplimiento al Art. 3 del AS 105 de 1993. </t>
  </si>
  <si>
    <t>Presentar ante el consejo superior la politica del SGSST para su aprobacion</t>
  </si>
  <si>
    <t>Política del SGSST aprobada por el consejo superior</t>
  </si>
  <si>
    <t>Acuerdo superior por el cual se adopte la politica de SST</t>
  </si>
  <si>
    <t>I semestre 2024: 
Actualmente la Universidad cuenta con la politica de SST la cual se encuentra firmada y publicada en la página de la universidad en el siguiente enlace:
 https://portalantiguo.unicauca.edu.co/prlvmen/sites/default/files/procesos/PA-GA-5.4.1-OD-1%20Sistema%20de%20Seguridad%20y%20Salud%20en%20el%20Trabajo%20Universidad%20del%20Cauca%20v2.pdf.
Pasa del 70% al 100%</t>
  </si>
  <si>
    <t>Objetivos definidos, claros, medibles, cuantificables, con metas, documentados, revisados del SG-SST: Sin evidencia de la medición y cuantificación de los objetivos específicos expresos en el documento: “Sistema de Gestión de la Seguridad y Salud en el Trabajo”, Código: PA-GA.5.4.1–OD-1 del 29/04/2019; con incumplimiento con los Arts. 2.2.4.6.8; 2.2.4.6.12; 2.2.4.6.17; 2.2.4.6.18 y 2.2.4.6.22 Decreto Único Reglamentario 1072 de 2015</t>
  </si>
  <si>
    <t>Falta medicion a los objetivos del SGSST</t>
  </si>
  <si>
    <t>Medir los objetivos del SGSST</t>
  </si>
  <si>
    <t xml:space="preserve">Establecer los indicadores para la medicion los objetivos </t>
  </si>
  <si>
    <t>Indicadores de medición de objetivos implementados</t>
  </si>
  <si>
    <t xml:space="preserve">Medicion de los objetivos </t>
  </si>
  <si>
    <t>El Plan Anual de trabajo no está suscrito por el representante de la Universidad; contraviene lo establecido en el # 5 Art. 2.2.4.6.12 del Decreto Único Reglamentario 1072 de 2015, ni relaciona los recursos y metas como lo establecen los Arts. 2.2.4.6.8 y 2.2.4.6.17 del mismo Decreto</t>
  </si>
  <si>
    <t>Falta la firma del rector en el plan de trabajo anual y los recursos y metas por cada actividad</t>
  </si>
  <si>
    <t xml:space="preserve">Enviar el plan de trabajo anual  para firma del rector y definir la meta y los recursos para cada actividad </t>
  </si>
  <si>
    <t>Presentar al rector el plan de trabajo anual para su aval a traves de firmado y realizar los ajustes individualizando las metas y recursos</t>
  </si>
  <si>
    <t xml:space="preserve">Plan de trabajo anual firmado por el rector y con metas y recursos definidos </t>
  </si>
  <si>
    <t xml:space="preserve">Plan de trabajo anual firmado y ajustado </t>
  </si>
  <si>
    <t>Plan anual de trabajo firmado por el Rector</t>
  </si>
  <si>
    <t xml:space="preserve">Se elaboró el Plan Anual de Trabajo el cual cuenta con el aval de Rectoría
Se otorga un avance del 100%
</t>
  </si>
  <si>
    <t>Archivo o retención documental del SG-SST: Se evidencia cumplimento parcial de los Arts. 2.2.4.6.12 (1) y 2.2.4.6.13 (2) del Decreto Único Reglamentario 1072 de 2015</t>
  </si>
  <si>
    <t xml:space="preserve">Falta de organización en el archivo de gestion documental  </t>
  </si>
  <si>
    <t>Organizar acorde con las normas de gestion documental el archivo de gestion</t>
  </si>
  <si>
    <t>Solicitar el apoyo de la secretaria general para subsanar las observaciones en el archivo de gestion.</t>
  </si>
  <si>
    <t xml:space="preserve">Archivo de gestion organizado </t>
  </si>
  <si>
    <t>Equipo de trabajo del Area de SST</t>
  </si>
  <si>
    <t xml:space="preserve">II semestre 2024: 
Se organizó base de datos en excel de las HCO, organizadas en tres hojas identificadas de la siguiente manera: HC  VIGENTES, HC EGRESADOS, HC PENSIONADOS EGRESADOS, se gestionó solicitud a la oficina de planeación según comunicación 5,1,4-55,6/239 del 26-08-24 sobre la necesidad de contar con archivo rodante para la custodia de las historias clinicas ocupacionales de los servidores de la Universidad. 
Se evidencia transferencias documentales del archivo años 2019 a 2021 realizadas en el mes de diciembre de 2024
Pasó del 50% al 95%, el 5% se sujeta a la adquisición de un archivo rodante para la custodia de historias clínicas ocupacionales. </t>
  </si>
  <si>
    <t xml:space="preserve">Rendición sobre el desempeño: Revisados los documentos institucionales de rendición de cuentas vigencias 2020 y 2021 frente al #3 del Art. 2.2.4.6.8 del Decreto Único Reglamentario 1072 de 2015 no se encuentra evidencia particular y específica con relación al desempeño del SG-SST. </t>
  </si>
  <si>
    <t xml:space="preserve">Carencia de aspectos relacionados con el desempeño del SGSST en la rendicion de cuentas </t>
  </si>
  <si>
    <t xml:space="preserve">Comunicar a la comunidad universitaria en la rendicion de cuentas las actividades  especificas del SGSST </t>
  </si>
  <si>
    <t>Especificar en el documento de rendicion de cuentas las actividades especificas del SGSST
Solicitar un acceso en el pagina web de la institucion que permita llegar de forma rapida a la informacion de SST</t>
  </si>
  <si>
    <t>Documento de rendicion de cuentas especificando las actividades del SGSST con acceso a la informacion del area de SST con registro en el Banner en la pagina web de la Universidad</t>
  </si>
  <si>
    <t>Director del centro de gestion de las comunicaciones
Profesional Universitario del Area de SST</t>
  </si>
  <si>
    <t>Documento de rendicion de cuentas con especificaciones del SGSST
Banner del area de SST</t>
  </si>
  <si>
    <t xml:space="preserve">II semestre 2024: 
No se  logra evidenciar un documento que consolide un informe de rendicion de cuentas al interior de la Universidad sobre el desempeño en el que se incluya : a) Avance , cumplimiento y deficiencias  del plan anual de trabajo, b) estado actual de intervencion de los peligros identificados, c) estado actual y observancio del programa de capacitaciones, d) desempeño en relación a los indicadores , e) estado actual de las investigaciones de accidentes y enfermedades laborales, f) nivel de cumplimiento de los requisitos legales, g) ejecución del presupuesto, h) estado de las comunicaciones en la organización, i) implementación del plan de emergencia, j) realización de simulacros, k) Estado del cumplimiento de los sistemas de vigilancia epidemiológica, l) Análisis del ausentismo laboral y de las acciones derivadas de este, m) Estado de la documentación legal y de soporte del SG-SST. Se tiene proyectado la entrega de un informe ante la División de Gestión del TH, el cual se está consolidando.
La profesional encargada del SST, mediante oficio  5.1.4-55.6/026
del 6-02-25, solicita ampliación en el plazo hasta el 30 de junio de 2025
El avance se mantiene en 50%. </t>
  </si>
  <si>
    <t xml:space="preserve">Mecanismos de comunicación, auto reporte en Sistema de Gestión de Seguridad y Salud en el Trabajo SG-SST: Revisadas la plataforma LVMEN y página web institucional no se evidencia herramientas de auto reporte. </t>
  </si>
  <si>
    <t>El formato de autoreporte no se encuentra en el programa LVMEN</t>
  </si>
  <si>
    <t xml:space="preserve">Publicar el formato de reporte de condiciones o practivas inseguras </t>
  </si>
  <si>
    <t xml:space="preserve">Solicitar al centro de gestion de la calidad subir el formato de reporte de condiciones o practivas inseguras en el programa LVMEN </t>
  </si>
  <si>
    <t xml:space="preserve">Formato de reporte de condiciones o actos inseguros publicado </t>
  </si>
  <si>
    <t>Tecnico administrativo del centro de gestion de la calidad y profesional universitario del Area de SST</t>
  </si>
  <si>
    <t>Formato de reporte de condiciones o actos inseguros en LVMEN</t>
  </si>
  <si>
    <t xml:space="preserve">PA-GA-5.1.4-FOR-50 reporte de practicas y condiciones inseguras </t>
  </si>
  <si>
    <t xml:space="preserve">Formato de reporte de practicas o condiciones inseguras publicado en LVMEN
Se otorga un avance del 100%
</t>
  </si>
  <si>
    <t xml:space="preserve">Las historias clínicas ocupacionales no evidencian ubicación topográfica, los archivadores son insuficientes y no están señalizados y organizados; con lo que se vulnera la cadena de custodia y, lo dispuesto en las normas de Gestión Documental y del Ministerio de Protección Social, Resolución 2346/2007. </t>
  </si>
  <si>
    <t>El espacio de archivo es insuficiente y no se encuentran las historias con ubicación topografica</t>
  </si>
  <si>
    <t>Aplicar las normas de archivo para la organización de las HCO</t>
  </si>
  <si>
    <t>Solicitar la instalacion de un archivo rodante para el area de SST cn el fin de organizar las historias clinicas ocupacionales.
Solicitar apoyo a la secretaria general para reforzar los conceptos y organizacion del archivo de HCO.
Realizar la ubicación topografica y señalizacion de las HCO en los archivadores existentes</t>
  </si>
  <si>
    <t xml:space="preserve">Archivo rodante instalado
Archivo de HCO organizado
HCO ubicadas topograficamente </t>
  </si>
  <si>
    <t>Vicerector administrativo 
Tecnico administrativo de la Secretaria general
Profesional Universitario del Area de SST</t>
  </si>
  <si>
    <t>Instalacion de archivo rodante
Archivo de HCO con ubicación topografica y señalizacion</t>
  </si>
  <si>
    <t xml:space="preserve">II semestre 2024:
Los archivadores de las historias clinicas ocupacionales fueron ubicados en el consultorio médico y la oficina de la psicologa, para la salvaguarda de los documentos, se organizó base de datos en excel de las HCO, organizadas en tres hojas identificadas de la siguiente manera: HC  VIGENTES, HC EGRESADOS, HC PENSIONADOS EGRESADOS, se gestionó solicitud a la oficina de planeación según comunicación 5,1,4-55,6/239 del 26-08-24 sobre la necesidad de contar con archivo rodante para la custodia de las historias clinicas ocupacionales de los servidores de la Universidad. 
Pasó del 30% al 90%. </t>
  </si>
  <si>
    <t xml:space="preserve">Relacion de medicion de ausentismo por causa medica </t>
  </si>
  <si>
    <t xml:space="preserve">Falta el analisis del ausentismo laboral por causa medica.
</t>
  </si>
  <si>
    <t>Analizar las causas de ausentismo por causa medica  con el apoyo de la herramienta de registro de ausentismo</t>
  </si>
  <si>
    <t>Ausentismo laboral por causa medica analizado en el comité de SST</t>
  </si>
  <si>
    <t xml:space="preserve">Ausentismo laboral por causa medica analizado </t>
  </si>
  <si>
    <t>Integrantes del Comité de SST</t>
  </si>
  <si>
    <t xml:space="preserve">Diagnostico de causalidad de ausentismo </t>
  </si>
  <si>
    <t xml:space="preserve">SIGA implementado </t>
  </si>
  <si>
    <t>Cuentan con una herramienta tecnólogica que permite realizar seguimiento y análisis al ausentismo en la Universidad del Cauca.
Se otorga un avance del 100%</t>
  </si>
  <si>
    <t xml:space="preserve">Implementacion de medidas de prevencion y control de peligros/riesgos identificados: condiciones inseguras en laboratorios </t>
  </si>
  <si>
    <t xml:space="preserve">Falencias en las condiciones de seguridad en los laboratorios visitados para la auditoria </t>
  </si>
  <si>
    <t xml:space="preserve">Realizar un diagnostico de condiciones de seguridad en los laboratorios de la Universidad y establecer medidas de control de riesgos
</t>
  </si>
  <si>
    <t xml:space="preserve">De manera articulada con el departamento de quimica y el area ambiental Inspeccionar todos los laboratorios de la Universidad  y recomendar medidas de control ante hallazgos 
</t>
  </si>
  <si>
    <t xml:space="preserve">Laboratorios de la institucion inspeccionados </t>
  </si>
  <si>
    <t xml:space="preserve">Profesional Universitario del centro de gestion de la calidad - Area ambiental
Contratista del comité de desactivacion del departamento de quimica
Tecnico administrativo del Area de SST </t>
  </si>
  <si>
    <t xml:space="preserve">Informe de condiciones de seguridad de laboratorios y plan de mejora para los 5 mas criticos </t>
  </si>
  <si>
    <t>Implementacion de medidas de prevencion y control de peligros/riesgos identificados: entrega y utilizacion de los EPP 
Entrega de Elementos de Protección Personal EPP, se verifica con contratistas y subcontratistas: En las vigencias 2020 y 2021 se registra una matriz de identificación de necesidades y 52 entregas de EPP; sin evidencia de entregas de EPP a todos los servidores que aplican, algunos desde el año 2019 (Área de Mantenimiento, laboratorios y servicio de mensajería), situación contraria a lo dispuesto en los arts. 2.2.4.6.10, 2.2.4.6.11, 2.2.4.6.12, 2.2.4.6.24 y 2.2.4.6.27 del Decreto 1072 de 201</t>
  </si>
  <si>
    <t>No se entregaron los EPP a todos los servidores durante la vigencia 2020 y 2021</t>
  </si>
  <si>
    <t xml:space="preserve">Dotar de los elementos de proteccion personal a los trabajadores que los requieran </t>
  </si>
  <si>
    <t xml:space="preserve">Implementar  lo establecido en el procedimiento de solicitud y entrega de elementos de proteccion personal (entrega, capacitacion y seguimiento) </t>
  </si>
  <si>
    <t>Servidores publicos dotados de EPP</t>
  </si>
  <si>
    <t>Vicerector  administrativo
Tecnico administrativo del Area de adquisiciones e inventarios 
Profesional Universitario del Area de SST 
Tecnico administrativo del Area de SST</t>
  </si>
  <si>
    <t xml:space="preserve">Acta de entrega de EPP 
Registro de asistencia a eventos institucionales
Acta de seguimiento a EPP </t>
  </si>
  <si>
    <t>Con oficio 5.1.4-52/525 del 24/11/2023 se reportó:
Formatos de seguimiento en el uso de elementos de protección personal: Facultad de ingeniería electrónica, civil, área de mantenimiento/aseo, laboratorio biología, departamento morfología, laboratrio de química, división administrativa y de servicios - metalisteria, entte otros.</t>
  </si>
  <si>
    <t>Se realizó seguimiento al uso de elementos de protección personal, actividad 5 del procedimiento PA-GA-5.1.4-PR-1, versión 2, del 2017.
Se asigna avance del 100% pendiente valoración de efectividad.</t>
  </si>
  <si>
    <t xml:space="preserve">
Implementacion de medidas de prevencion y control de peligros/riesgos identificados: edificios sin puntos de anclaje </t>
  </si>
  <si>
    <t xml:space="preserve">Falta de puntos de anclaje en las sedes universitarias </t>
  </si>
  <si>
    <t xml:space="preserve">Instalar los puntos de anclaje en las sedes universitarias
Diseñar e implementar el programa de proteccion contra caidas a alturas  </t>
  </si>
  <si>
    <t xml:space="preserve">Reiterar a la vicerrectoria administrativa la solicitud de instalacion de los puntos de anclaje 
Socializar el programa de proteccion contra caidas de alturas
Adquisicion del kit de medidas de proteccion contra caidas de alturas para las sedes universitarias 
</t>
  </si>
  <si>
    <t xml:space="preserve">Documento de solicitud de instalacion de puntos de anclaje recibido en la VRADM
Programa de proteccion contra caidas socializado
Sedes universitarias dotadas del kit de proteccion contra caidas y trabajo en alturas </t>
  </si>
  <si>
    <t xml:space="preserve">Vicerector administrativo
Profesional especializado del a DAS
Tecnico administrativo del Area de adquisiciones e inventarios 
Profesional Universitario del Area de SST </t>
  </si>
  <si>
    <t>Oficio de solicitud de puntos de anclaje 
Programa de proteccion contra caidas publicado en LUMEN 
Actas de entrega de elementos de proteccion contra caidas</t>
  </si>
  <si>
    <t xml:space="preserve">II semestre 2024: 
Se evidencia la adquisición de equipos para el ascenso trabajo en alturas según orden de compra 20240424. Se cuenta con el programa de protección contra caidas de alturas, pero no se evidencia cargado en LVMEN. En los edificios que tienen la categoria de históricos se utilizan puntos de anclaje portatiles, los cuales son solicitados en la convocatoria de mantenimiento de las edificaciones como se puede evidenciar en el pliego de condiciones definitivo Convocatoria No. 003-2024
Actividad pasa del 80% al 90%. </t>
  </si>
  <si>
    <t>Elaboración de procedimientos, instructivos, fichas, protocolos: Con excepción del “Procedimiento Reporte e Investigación de Accidentes de Trabajo”, código PA-GA-5.1.4-PR-4, la documentación publicada en la plataforma LVMEN está desactualizada</t>
  </si>
  <si>
    <t xml:space="preserve">Algunos documentos en el programa LVMEN se encuentran desactualizados. </t>
  </si>
  <si>
    <t xml:space="preserve">Actualizar y publicar los documentos del SGSST en el programa LVMEN
</t>
  </si>
  <si>
    <t xml:space="preserve">Revisar, actualizar o construir los protocolos, procedimientos, instructivos correspondientes al SGSST  para ser publicados  en el programa LVMEN
</t>
  </si>
  <si>
    <t xml:space="preserve">Documentos del SGSST publicados  en LVMEN
</t>
  </si>
  <si>
    <t>Tecnico administrativo del Centro de gestion de la calidad 
profesional Universitario del Area de SST</t>
  </si>
  <si>
    <t>Documentos del SGSST en el Programa LVMEN</t>
  </si>
  <si>
    <t xml:space="preserve">II semestre 2024: 
Con oficio 5.1.4-27.34/012 del 29/01/2025, el Área de Seguridad y Salud en el Trabajo remitió
Correo de confirmacion por parte del encargado de actualizacion de los documentos en LVMEN. </t>
  </si>
  <si>
    <t>Realización de inspecciones sistemáticas a las instalaciones, maquinaria o equipos con la participación del COPASST: Si bien existen cronogramas para inspecciones y actas de soportes de seguimiento para verificar la implementación, en las vigencias 2021 y 2022 no se evidencia un plan integral con alcance a todas las áreas, equipos, máquinas y herramientas. Tampoco se observa participación activa del COPASST en la construcción del cronograma de verificación, contrariando lo dispuesto en los arts. 2.2.4.6.10 y 2.2.4.6.24 del Decreto 1072 de 2015.</t>
  </si>
  <si>
    <t>Falta vincular a los integrantes del COPASST en las inspecciones de seguridad</t>
  </si>
  <si>
    <t xml:space="preserve">Fortalecer los procesos de capacitacion a las partes interesadas  en inspecciones de seguridad y vincular a los integrantes del COPASST en las visitas de inspeccion
</t>
  </si>
  <si>
    <t>Incluir dentro de los responsables en el plan de trabajo anual a los integrantes del COPASST</t>
  </si>
  <si>
    <t>Informes de inspecciones elaborardos con participacion del COPASST</t>
  </si>
  <si>
    <t>Profesional Universitario Area de SST
Integrantes del COPASST
Asesores de la Adminstradora de Riesgos Laborales (ARL)</t>
  </si>
  <si>
    <t>Informes de inspecciones
Registro de asistencia a eventos institucionales</t>
  </si>
  <si>
    <t>II semestre 2024: 
Con oficio 5.1.4-27.34/012 del 29/01/2025, el Área de Seguridad y Salud en el Trabajo remitió
Informe de inspeccion con participacion de un integrante del COPASST</t>
  </si>
  <si>
    <t>La empresa adelanta auditoría por lo menos una vez al año: Sin evidencia del programa de auditoría anual al SGSST y de registros sobre la participación del COPASST en la planeación de la Evaluación del Sistema, lo que contraría lo dispuesto en los arts. 2.2.4.6.12, 2.2.4.6.17, 2.2.4.6.12, 2.2.4.6.29 y 2.2.4.6.30 del Decreto 1072 de 2015.
Planificación auditorías con el COPASST: Sin evidencia de un programa de auditorías anual al SGSST y de registros sobre la participación del COPASST en la planeación de la Evaluación del Sistema, lo que contraría lo dispuesto en los arts. 2.2.4.6.12, 2.2.4.6.29 y 2.2.4.6.31 del Decreto 1072 de 2015</t>
  </si>
  <si>
    <t>La institucion no cuenta con personal con las competencias para desarrrollar una auditoria al SGSST</t>
  </si>
  <si>
    <t xml:space="preserve">Formar auditores en SGSSTpara la realziación de la auditoría anual
</t>
  </si>
  <si>
    <t xml:space="preserve">Capacitar personal  para realizar auditorias al SGSST
Realizar la auditoria anual </t>
  </si>
  <si>
    <t>Auditoria al SGSST realizada</t>
  </si>
  <si>
    <t>Profesional universitario del Área de SST</t>
  </si>
  <si>
    <t>Informe de auditoria</t>
  </si>
  <si>
    <t xml:space="preserve">II semestre 2024: 
Con oficio 5.1.4-27.34/012 del 29/01/2025, el Área de Seguridad y Salud en el Trabajo remitió matriz de seguimiento de planes diligenciada. </t>
  </si>
  <si>
    <t>Revisión anual por la alta dirección, resultados y alcance de la auditoría: Sin registros de evidencia de la revisión anual al SGSST por parte de Dirección Universitaria, lo anterior contraría lo dispuesto en los arts. 2.2.4.6.30, 2.2.4.6.31, 2.2.4.6.33 y 2.2.4.6.34 del Decreto 1072 de 2015
Acciones de mejora conforme a revisión de la alta dirección y 7.1.3 Acciones de mejora con base en investigaciones de accidentes de trabajo y enfermedades laborales: Sin evidencia de acciones de mejora según directrices de la Dirección Universitaria y los ATEL, como lo establecen los arts. 2.2.4.6.12, 2.2.4.6.32, 2.2.4.6.33 y 2.2.4.6.34 del Decreto 1072 de 2015</t>
  </si>
  <si>
    <t xml:space="preserve">Falta de retroalimentacion por parte de la alta direccion frente a los informes presentados por el area de SST y seguimiento a las medidas de intervencion propuestas en las investigaciones de AT y EL </t>
  </si>
  <si>
    <t xml:space="preserve">Solicitar al rector retroalimentacion a los informes del SGSST al documento
Realizar seguimiento a las investigaciones de AT y EL 
                                                                    </t>
  </si>
  <si>
    <t xml:space="preserve">Remitir  los informes del SGSST al rector y solicitar retroalimentacion al documento.    
Realizar seguimiento a las medidas de intervencion propuestas en las investigaciones de AT y EL  
                                                                    </t>
  </si>
  <si>
    <t>Documento con la revision anual por la alta direccion enviado al Area de SST
Casos de AT y El cerrados</t>
  </si>
  <si>
    <t xml:space="preserve">Rector
Profesional Universitario Area de SST
Medico especialista del Area de SST </t>
  </si>
  <si>
    <t>Informe de revision por la alta direccion 
Registros de implementacion a las medidas de intervencion producto de las investigaciones</t>
  </si>
  <si>
    <t>Definición de acciones preventivas y correctivas con base en resultados del SG-SST: El documento Plan de Mejoramiento para los estándares mínimos SGSST 2021, enuncia actividades a realizar, responsables por dependencias y fechas de realización, sin embargo, el documento incumple con la exigencia de los arts. 2.2.4.6.12, 2.2.4.6.33 y 2.2.4.6.34 del Decreto 1072 de 2015, frente a determinar recursos, metas, cronogramas, análisis de causas de las no conformidades, seguimiento de las acciones y medición de la efectividad.</t>
  </si>
  <si>
    <t>El plan de mejoramiento no determinar recursos, metas, cronogramas, análisis de causas de las no conformidades, seguimiento de las acciones y medición de la efectividad.</t>
  </si>
  <si>
    <t xml:space="preserve">Actualizar Formato de plan de mejoramiento </t>
  </si>
  <si>
    <t>Ajustar el Plan de Mejoramiento para estandares minimos que incluya  recursos,metas e indicadores</t>
  </si>
  <si>
    <t>Plan de mejoramiento ajustado</t>
  </si>
  <si>
    <t>Profesional Universitario Area de SST</t>
  </si>
  <si>
    <t>Vicerrectoría Administrativa - División de Gestión Financiera</t>
  </si>
  <si>
    <t>24/08/2021</t>
  </si>
  <si>
    <t xml:space="preserve"> INFORME 2.6-52.18/23 de 2020 EVALUACIÓN AL PROCEDIMIENTO DE MATRÍCULA FINANCIERA PROGRAMAS DE PREGRADO</t>
  </si>
  <si>
    <t>Sin reporte de avances por la División de Admisiones, Registro y Control Académico - DARCA durante la vigencia 2024. El plan está incumplido.</t>
  </si>
  <si>
    <t>Debilidades en la documentación de los procedimientos debido a: 
 a) El objetivo no es el eje direccionador, con impacto en  el alcance y la definición de actividades</t>
  </si>
  <si>
    <t>Sin actualización, las últimas actualizaciones de los procedimientos según el registro de control de documentos datan del 2017.</t>
  </si>
  <si>
    <t>Reformular los lineamientos existentes con el proceso de matrículas financieras con el ciclo PHVA</t>
  </si>
  <si>
    <t>Ajustar y actualizar el procedimiento de   Financiación de derechos de matrícula y complementarios.</t>
  </si>
  <si>
    <t>Procedimiento actualizado y formalizado</t>
  </si>
  <si>
    <t xml:space="preserve">Tecnico Administrativo profesional universitario Vicerrectoria Administrativa </t>
  </si>
  <si>
    <t>Procedimiento actualizado y publicado</t>
  </si>
  <si>
    <t>Con oficio 5-84/0182 del 21/04/2023, la Vicerrectoría Administrativa remitió: 
-Proyecto procedimiento Financiación de Derechos de Matrícula y Complementarios, V5 del 13/03/2023 .
-Instructivo para Financiación de Matrícula Financiera Estudiantes
Regulares de Pregrado y Posgrado V3 del 16/01/2023</t>
  </si>
  <si>
    <t xml:space="preserve">2023-1: Se verificó el ajuste y publicación del procedimiento Financiación de Derechos de Matrícula y Complementarios en el programa LVMEN del portal Web Institucional, así como del instructivo, por lo que se da cumplimiento al 100% de la actividad planteada. </t>
  </si>
  <si>
    <t>La actividad presenta efectividad del 77%, por: 
1. Promedio eficacia y eficiencia 50%: La actividad alcanzó el 100% de avance, sin embargo, incumplió con el tiempo de finalización programado.
2. Gestión del 100%:  Se actualizó el procedimiento en cuanto a objetivo, alcance, actividades, controles y responsables, y se publicó en LVMEN con fecha 13/03/2023. 
3. Impacto del 80%: Recientemente se evidenciaron las mejoras sugeridas por la OCI.</t>
  </si>
  <si>
    <t>Ajustar y actualizar el procedimiento de  Liquidación de matrícula Financiera.</t>
  </si>
  <si>
    <t>Profesional Especializado -DARCA</t>
  </si>
  <si>
    <t>Con oficio 4.2-52.5/530 del 7/07/2023, la División de Admisiones, Registro y Control Académico remitió el procedimiento de Aplicación de Descuentos de Matrícula
Financiera para Admitidos y Estudiantes Regulares PA-GA-4.2-PR-13, publicado en LVMEN V1 del 27-06-2023
Sin evidencia para el seguimiento 2023-II</t>
  </si>
  <si>
    <t>La actividad no cuenta con los requisitos mínimos para medir la efectividad.</t>
  </si>
  <si>
    <t>b) Existe segmentación de los procedimientos</t>
  </si>
  <si>
    <t xml:space="preserve">Ajustar y actualizar el procedimiento: condonación intereses en mora por financiación de matrícula y complementarios </t>
  </si>
  <si>
    <t>Tecnico Administrativo profesional universitario Vicerrectoria Administrativa 
Profesional Especializado- División Financiera.
Profesional Especializado -DARCA</t>
  </si>
  <si>
    <t xml:space="preserve">Procedimiento PA-GA-5-PR-10 V4 del 27/05/2022- Condonación de Intereses para Estudiantes en mora por financiación de matrícula y complementarios. </t>
  </si>
  <si>
    <t>Con oficio 5-71.7/693 del 13/06/2022, la Vicerrectoría Administrativa remite el Procedimiento PA-GA-5-PR-10 Condonación de Intereses..., V4 del 27/05/2022, evidenciando su publicación en la página Web Institucional- programa LVMEN.</t>
  </si>
  <si>
    <t xml:space="preserve">La actividad presenta efectividad del 73%, por: 
1. Promedio eficacia y eficiencia: La actividad se cumplió en 100%, fuera del tiempo programado.
2. Gestión del 80%: El procedmiento se actualizó y se encuentra publicado en LVMEN, con versión 5 del 21/11/2022.
3. Impacto del 70%: Se evidencian algunos ajustes de acuerdo a lo sugerido por la OCI, sin embargo, se quedan pendientes algunas mejoras, ejemplo: 
Algunos responsables no pertenecen a la Planta de personal, incumpliendo lo estipulado en el procedimiento para elaboración y control de documentos, entre otros. </t>
  </si>
  <si>
    <t>c) Los marcos legales de los procedimientos no soportan el quehacer de la operación</t>
  </si>
  <si>
    <t xml:space="preserve">Ajustar y actualizar el procedimiento:  egresos por devoluciones, descuentos y recaudos. </t>
  </si>
  <si>
    <t>30/06/2022</t>
  </si>
  <si>
    <t>Procedimiento PA-GA-5.2-PR-5 (Egresos por Devoluciones y Descuentos) versión 5 del  10/06/2022.</t>
  </si>
  <si>
    <t>Mediante oficio 5.2-52.2/067 del 13/06/2022, la División de Gestión Financiera remitió procedimiento PA-GA-5.2-PR-5 Egresos por Devoluciones y Descuentos, versión 5 del 10/06/2022, evidenciando su publicación en la página Web Institucional- programa LVMEN.</t>
  </si>
  <si>
    <t>La actividad presenta efectividad del 57%, por: 
1. Promedio eficacia y eficiencia 50%: La actividad se cumplió en 100%, fuera del tiempo programado.
2. Gestión del 70%: Se actualizó el procedimiento con versión 5 del 10/06/2022, sin embargo, requiere algunos ajustes. 
Impacto del 40%: El procedimiento  PA-GA-5.2-PR-5 no se ajusta a los criterios establecidos en el Procedimiento PE-GS-2.2.1-PR-1- Elaboración y control de documentos, en cuanto a la definición del objetivo, alcance y actividades y controles, así: 
1. El alcance no se relaciona con las actividades del planear. 
2. El punto de control no guarda relación con la actividad, entre otras.</t>
  </si>
  <si>
    <t>d) Los procedimientos existentes relacionados con el proceso de matrículas financieras no cumple con el ciclo PHVA</t>
  </si>
  <si>
    <t xml:space="preserve"> INFORME 2.6-52.18/07 del 2020 EVALUACIÓN AL PROCEDIMIENTO DE RECONOCIMIENTO Y
 LEGALIZACIÓN DE AVANCES</t>
  </si>
  <si>
    <t>El estatuto financiero y presupuestal Acuerdo 051 de 2007 Art. 75 hay incumplimento al autorizarse avances para gastos no justificados o sin motivarse el carácter de urgencia, como tambien las legalizaciones se realizan por fuera del término fijado.</t>
  </si>
  <si>
    <t>Desactualización de la reglamentación que hace referencia al otorgamiento y legalización de los avances</t>
  </si>
  <si>
    <t>Modificación y ajuste de la Resolución 726 de 2013</t>
  </si>
  <si>
    <t>Revisión y actualización de la Resolución 726 de 2013 por el cual se reglamenta el procedimiento para el otorgamiento y legalización de avances concedidos a los funcionarios de la Universidad del Cauca</t>
  </si>
  <si>
    <t>Resolución actualizada</t>
  </si>
  <si>
    <t>Vicerrector Administrativo</t>
  </si>
  <si>
    <t xml:space="preserve">La Vicerrectoría AdministrativA dio respuesta con oficio 5-55.6/0528 del 25/07/2024 </t>
  </si>
  <si>
    <t>I semestre 2024:
En el Oficio remitido por la Vicerrectoría Administrativa, se informó que el proyecto de Acto Administrativo que reforma la Resolución R 726 del 2013 fue aprobada por la Oficina Jurídica, sin embargo, la Vicerrectoría de Investigaciones comunicó que le realizaría algunas modificaciones antes de enviarla a la Oficina Jurídica nuevamente.
Por lo anterior, solicita ampliación de la fecha final programada, hasta el 31 de diciembre del 2024.
El avance se mantiene en 85% hasta tanto se apruebe la Resolución y se publique.</t>
  </si>
  <si>
    <t>La Resolución 726 de 2013 que reglamenta el procedimiento para el otorgamiento y legalización de avances se aplica parcialmente respecto de las exigencias de la aprobación, ejecución y legalización del gasto; entre otros porque el formato para la solicitud de avance PA-GA-5-FOR 23, actualizado el 25 de septiembre de 2019 no atempera su estructura a las exigencias del trámite de aprobación del gasto.</t>
  </si>
  <si>
    <t>Modificación y ajuste del Formato PA-GA-5-FOR 23 con el fin de aplicar las exigencias de la aprobación, ejecución y legalización del gasto.</t>
  </si>
  <si>
    <t>Modificación y ajuste Formato PA-GA-5-FOR 23.</t>
  </si>
  <si>
    <t>Formato actualizado</t>
  </si>
  <si>
    <t>I semestre 2024:
En el Oficio remitido por la Vicerrectoría Administrativa, se informó que el proyecto de Acto Administrativo que reforma la Resolución R 726 del 2013 fue aprobada por la Oficina Jurídica, sin embargo, la Vicerrectoría de Investigaciones comunicó que le realizaría algunas modificaciones antes de enviarla a la Oficina Jurídica nuevamente.
Siendo que la formalización del Formato depende de la aprobación de la Resolución R- 726 de 2013, la Vicerrectoría solicita ampliación de la fecha final programada, hasta el 31 de diciembre del 2024.
El avance se mantiene en 90%.</t>
  </si>
  <si>
    <t>La actividad presenta efectividad del 66%, por: 
1. Promedio eficacia y eficiencia 74%: La actividad alcanzó el 90% de avance, sin embargo, incumplió con el tiempo de finalización programado.
2. Gestión del 80%:  El Formato fue ajustado,  sin embargo,  la VADM informa que su publicación queda "sujeta a la aprobación la versión final de la Resolución 726 del 2013".
3. Impacto del 60%: Pendiente la publicación del formato.</t>
  </si>
  <si>
    <t xml:space="preserve">El procedimiento “Legalización de Comisión y Avance” PA-GA-5.2-PR-7 V:5 del 2016 presenta debilidades en la documentación; por cuanto no integra el ciclo completo para el trámite, faltan actividades, no prevé controles necesarios y efectivos, el responsable que se designa ejerce una función de revisión de comprobantes y realizar los registros. Del análisis del procedimiento, puede concluirse que la revisión de los soportes no se realiza sobre los criterios que los reglamentan, los de austeridad </t>
  </si>
  <si>
    <t>Desactualización de la normatividad y de los procedimientos</t>
  </si>
  <si>
    <t>Actualización y mejoramiento del procedimiento  PA-GA-5.2-PR-7 Legalización de Comisión y Avance, con el fin de integrar el ciclo completo del tramite de avances y prever los controles  efectivos en la revisión de los comprobantes que soportan el gasto.</t>
  </si>
  <si>
    <r>
      <rPr>
        <sz val="11"/>
        <color rgb="FF000000"/>
        <rFont val="Arial"/>
      </rPr>
      <t xml:space="preserve">Revisión y actualización del procedimiento PA-GA-5.2-PR-7 </t>
    </r>
    <r>
      <rPr>
        <i/>
        <sz val="11"/>
        <color rgb="FF000000"/>
        <rFont val="Arial"/>
      </rPr>
      <t>Legalización de Comisión y Avance</t>
    </r>
  </si>
  <si>
    <t>Procedimiento actualizado</t>
  </si>
  <si>
    <t xml:space="preserve">Profesional especializado Divión Gestión Financiera </t>
  </si>
  <si>
    <t xml:space="preserve">I semestre 2024:
La División de Gestión Financiera remitió oficio 5.2-55.6/0602 del 20/06/2024
La Vicerrectoría AdministrativA dio respuesta con oficio 5-55.6/0528 del 25/07/2024 
II semestre 2024: 
La División de Gestión Financiera con oficio 5.2-55.6/0067 del 03/02/2025 solicitó ampliación de la fecha de finalización. </t>
  </si>
  <si>
    <t xml:space="preserve">La actividad registra avance del 50% si condiciones para valorar su efectividad, sin embargo, la OCI con base en las evidencias determina:
Las modificaciones subsanan  parcialmente las debilidades determinadas en la evaluación, debido a:
 - Se mantiene la debilidad en el control a la extemporanidad  de la legalización y a la permanencia de los recursos en el funcionario titular del avance, por tiempos superiores a los autorizados.
 - Sin establecer los responsables de aplicar las directrices sobre la extemporanidad  de la legalización y a la permanencia de los recursos, con base en la  Resolución 726/2013. 
 - Sin aplicar controles a la legalización del avance por el beneficiario titular del avance.   </t>
  </si>
  <si>
    <t>El procedimiento “autorización y aprobación de los Avances y procedimientos” PA-GA-5-PR-7 V:3 del 2015 presenta debilidades en la documentación.</t>
  </si>
  <si>
    <r>
      <t>Actualización y mejoramiento del procedimiento PA-GA-5-PR-7</t>
    </r>
    <r>
      <rPr>
        <i/>
        <sz val="11"/>
        <color theme="1"/>
        <rFont val="Arial"/>
        <family val="2"/>
      </rPr>
      <t xml:space="preserve"> autorización y aprobación de los avances y procedimiento, </t>
    </r>
    <r>
      <rPr>
        <sz val="11"/>
        <color theme="1"/>
        <rFont val="Arial"/>
        <family val="2"/>
      </rPr>
      <t>con el fin de integrar el ciclo completo del tramite de avances y prever los controles  efectivos en la revisión de los comprobantes que soportan el gasto.</t>
    </r>
  </si>
  <si>
    <r>
      <rPr>
        <sz val="11"/>
        <color rgb="FF000000"/>
        <rFont val="Arial"/>
      </rPr>
      <t>Revisión y actualización del procedimiento PA-GA-5-PR-7</t>
    </r>
    <r>
      <rPr>
        <i/>
        <sz val="11"/>
        <color rgb="FF000000"/>
        <rFont val="Arial"/>
      </rPr>
      <t xml:space="preserve">  autorización y aprobación de los avances y procedimientos</t>
    </r>
  </si>
  <si>
    <t>I semestre 2024:
En el Oficio remitido por la Vicerrectoría Administrativa, se informó que el proyecto de Acto Administrativo que reforma la Resolución R 726 del 2013 fue aprobada por la Oficina Jurídica, sin embargo, la Vicerrectoría de Investigaciones comunicó que le realizaría algunas modificaciones antes de enviarla a la Oficina Jurídica nuevamente.
Siendo que la formalización del procedimiento depende de la aprobación de la Resolución R- 726 de 2013, la Vicerrectoría solicita ampliación de la fecha final programada, hasta el 31 de diciembre del 2024.
Por lo anterior, el avance se mantiene en 70%.</t>
  </si>
  <si>
    <t xml:space="preserve">La actividad registra avance del 70%  si condiciones para valorar su efectividad, sin embargo, la OCI con base en las evidencias determina que aún se requiere ajustar algunas actividades y controles, en lo referente a:
1. Se deben definir todas las actividades necesarias, que sean consecuentes y que articulen a todos los responsables que intervienen. 
2. Los puntos de control deben evidencir los resultados de la aplicación de las actividades.
</t>
  </si>
  <si>
    <t>Reiterados casos de extemporaneidad en la legalización de los avances</t>
  </si>
  <si>
    <t xml:space="preserve"> Faltan criterios en los procedimientos y aplicación parcial de los controles</t>
  </si>
  <si>
    <t>Diseño y aplicación de estrategias a fin de atender la extemporaneidad en la legalzación de avances.</t>
  </si>
  <si>
    <t xml:space="preserve">Aplicación de estrategias:
Entrega de volante informativo donde se dan a conocer los plazos establecidos para la legalización, se entrega junto con el cheque. 
Notificación de la extemporaneidad en la legalización mediante oficio enviado al correo personal del responsable y al correo de la dependencia en la cual labora. </t>
  </si>
  <si>
    <t>Estrategias definidas</t>
  </si>
  <si>
    <t>Oficios de entrega del volante informativo y evidencia de retención de salarios de la vigencia 2022.</t>
  </si>
  <si>
    <t>Mediante oficio 5.2-52.2/067 del 13/06/2022, la División de Gestión Financiera remitió  Oficios de notificación de retención de salarios de los meses de marzo y abril de 2022.
La OCI realizó una verificación a través del Sistema Finanzas Plus a los terceros que la División de Gestión Financiera retuvo el salario, verificando que los avances ya se encuentran legalizados, sin embargo, ésta se hizo efectiva después de la retención de salario.
OCI: Se define y aplica la estrategia propuesta para atender la extemporaneidad en la legalización.</t>
  </si>
  <si>
    <t>La actividad presenta efectividad del 57%, por: 
1. Promedio eficacia y eficiencia 50%: La actividad se cumplió en 100%, pero no se cumplió dentro del tiempo programado.
2. Gestión del 70%: si bien el oficio de notificación de extemporaneidad remitido por la División de Gestión Financiera a los beneficiarios de los avances, es parcialmente efectivo para la legalización, la retención de nómina cuenta con mayor efectividad, ya que se evidencia que los terceros realizaron la legalización del avance en fechas posteriores a la retención, pero la estrategia no se encuentra documentada. 
3. Impacto del 50%: Se actualizó el instructivo para legalización de avances, con el que se observa mayor efectividad.</t>
  </si>
  <si>
    <t>Debilidad en la idoneidad de los soportes de legalizacion del gasto</t>
  </si>
  <si>
    <t xml:space="preserve"> Sin restricciones en monto y criterios para su utilización</t>
  </si>
  <si>
    <r>
      <t xml:space="preserve">Revisión y actualización del formato PA-GA-5.2-FOR-5 </t>
    </r>
    <r>
      <rPr>
        <i/>
        <sz val="11"/>
        <color theme="1"/>
        <rFont val="Arial"/>
        <family val="2"/>
      </rPr>
      <t>Comprobante de pago</t>
    </r>
    <r>
      <rPr>
        <sz val="11"/>
        <color theme="1"/>
        <rFont val="Arial"/>
        <family val="2"/>
      </rPr>
      <t xml:space="preserve"> y establecer los criterios de su utilización a fin de que los documentos anexos a este, sean soporte suficiente y necesario para su legalización.</t>
    </r>
  </si>
  <si>
    <t>Revisión y actualización del formato PA-GA-5.2-FOR-5 Comprobante de pago, a fin de establecer controles para la utilización.</t>
  </si>
  <si>
    <t>Formato PA-GA-5.2-FOR-5 Comprobante de pago, Versión 2 del 18-05-2021, publicado en LVMEN.</t>
  </si>
  <si>
    <t>Mediante oficio 5.2-52.2/042 del 26/11/2021, la División de Gestión Financiera remitió soportes de la legalización de un avance, cumpliendo con la Unidad de medida.</t>
  </si>
  <si>
    <t xml:space="preserve">La actividad presenta efectividad del 90%, por: 
1. Promedio eficiencia y eficacia: Alcanzó un avance del 100% y cumplió con el tiempo programado. 
2. Gestión del 100%: Se ajustó e implementó el formato, dando cumplimiento a la acción de mejora. 
3. Impacto 70%: El formato continúa en Versión 2, ya que no ha requerido mejoras. </t>
  </si>
  <si>
    <t>Vicerrectoría de Cultura y Bienestar</t>
  </si>
  <si>
    <t>Diego - Olga</t>
  </si>
  <si>
    <t xml:space="preserve">INFORME 2.6-52.18/015 de 2017 EVALUACIÓN A LOS PROGRAMAS DEL SISTEMA DE CULTURA Y BIENESTAR UNIVERSITARIO </t>
  </si>
  <si>
    <t>Seguimiento según acta 2.6-1.60/30 del 12/12/2022 establece  compromisos no entregados a la fecha de consolidación de la herramienta</t>
  </si>
  <si>
    <t>El Sistema de Cultura y Bienestar no involucra de manera integral los programas y servicios de bienestar estudiantil, por lo que su operación se aparta del cabal cumplimiento de las políticas y objetivos generales e institucionales.</t>
  </si>
  <si>
    <t xml:space="preserve">El Acuerdo 030 del 2015 no incluye contenidos vigentes aplicados al desarrollo de programas y servicios propuestos, que permita una armonía entre las políticas y los objetivos generales e institucionales.                    </t>
  </si>
  <si>
    <t xml:space="preserve">Incluir en el Acuerdo 030 de 2015 contenidos que amplíen, articulen y regulen las acciones necesarias para el desarrollo de los programas y servicios dirigidos al bienestar universitario.
</t>
  </si>
  <si>
    <t>Desarrollar con diferentes miembros de la Vicerrectoría de Cultura y Bienestar modificaciones al Acuerdo 030 de 2015, donde se incorporen los procesos faltantes y operativos al Sistema.</t>
  </si>
  <si>
    <t>Documento con ajustes al Acuerdo 030 de 2015</t>
  </si>
  <si>
    <t>Actas
Documento  con ajustes</t>
  </si>
  <si>
    <t>Acuerdo Superior 030 de 2015 (establecimiento del Sistema de Cultura y Bienestar de la Universidad del Cauca), (Actualizado a 5 de junio de 2020)</t>
  </si>
  <si>
    <t>•La Vicerrectoría de Cultura y Bienestar abordó de manera participativa los ajustes al Acuerdo 030 de 2015. Se evidencia discusión respecto a los artículos 4 y 5. Y se propone suprimir los arts. 12,13, 14, 15, 16 y 17 ante la inoperancia de los Comités de Facultad para la promoción de la Cultura y el Bienestar y de los Comités Ad – hoc de asesoría y consulta</t>
  </si>
  <si>
    <t>Efectividad del 67%, por cuanto:
La revisión de las modificaciones al Acuerdo Superior 030 se realizó por fuera del tiempo programado.
Gestión 50%, las modificaciones al acuerdo aún no han sido aprobadas e implementadas.
Impacto 100%, se continua realizando la actividad.
Pendiente la aprobación del acuerdo.</t>
  </si>
  <si>
    <t>Presentar al Consejo Académico el proyecto de reforma al Sistema de Cultura y Bienestar para su aval</t>
  </si>
  <si>
    <t xml:space="preserve">Remisión al Consejo Académico para su aprobación
Proyecto avalado </t>
  </si>
  <si>
    <t xml:space="preserve">Aval del Consejo Académico
Oficio de remisión
</t>
  </si>
  <si>
    <t>Se evidencian gestiones por parte de la Vicerrectoría de Cultura y Bienestar para la definición del acto administrativo y crea el Sistema de Cultura y Bienestar.
Para el II semestre 2024 los avances en la aprobación del Acuerdo depende de la revisión por la Oficina Jurídica.
Adicionalmente la Vicerrectoría de Cultura y Bienestar manifestó que se espera realizar el tramite en el periodo 2025 para su aprobacion completa, lo anterior debido a la dificultad de incluir el programa de permanencia y graduación estudiantil (PermaneSer)
Se mantiene el avance de 40%</t>
  </si>
  <si>
    <t xml:space="preserve">Enviar y sustentar ante el Consejo Superior los ajustes al Sistema de Cultura y Bienestar </t>
  </si>
  <si>
    <t>Acuerdo ajustado
Acuerdo aprobado</t>
  </si>
  <si>
    <t>Acuerdo aprobado</t>
  </si>
  <si>
    <t>Los avances en la aprobación del Acuerdo depende de la revisión por la Oficina Jurídica.
Sin avance para la presentación al Consejo Superior</t>
  </si>
  <si>
    <t>Las regulaciones institucionales de los programas y servicios de bienestar estudiantil, no se encuentran armonizadas con las políticas y objetivos del Sistema de Bienestar Universitario o presentan vacíos que afectan su operatividad.</t>
  </si>
  <si>
    <t>No se evidencia una articulación entre los procesos y procedimientos con las políticas y objetivos planteados en el Sistema de Cultura y Bienestar.</t>
  </si>
  <si>
    <t>Evaluar los procesos y procedimientos relacionados con el Proceso de Gestión de la Cultura y su armonía con las políticas y objetivos del Sistema de Cultura y Bienestar</t>
  </si>
  <si>
    <t>Armonizar los Acuerdos que regulan el funcionamiento de las residencias y monitorias con las políticas y objetivos del Sistema de Cultura y Bienestar.</t>
  </si>
  <si>
    <t xml:space="preserve">Acuerdos armónicos con el Sistema de Cultura y Bienestar
</t>
  </si>
  <si>
    <t>Vicerrectoría de Cultura y Bienestar/División de Gestión de Salud Integral y Desarrollo Humano</t>
  </si>
  <si>
    <t>Actas
Registro de Asistencias</t>
  </si>
  <si>
    <t>La División de Salud Integral y Desarrollo Humano informó respecto a las propuestas de reforma de los Acuerdos 040 de 2003 reglamentario de las residencias universitarias y 066 de 2008 de las monitorias.
Oficio de respuesta 7.2-52.5/355 del 22/07/2022:
El acuerdo 040 esta siendo revizado por el Consejo de Cultura y Bienestar. Con el fin de ajustarlo y enviarlo al Consejo académico.
El acuerdo 066 aun sigue sin ser ajustado ni modificado.</t>
  </si>
  <si>
    <t xml:space="preserve">Como una de las principales reformas frente al Acuerdo 066/08, se prevé la exclusión del estudio socioeconómico realizado por trabajo social.  La aprobación y armonización está sujeto a la reforma del Acuerdo 030 de 2015. </t>
  </si>
  <si>
    <t>Efectividad del 50%.
Los acuerdos no se han armonizado al Sistema de Cultura y Bienestar, se continua revisando las propuestas de modificación de los Acuerdos, pendiente aprobación e implementación.</t>
  </si>
  <si>
    <t xml:space="preserve">Presentar e impulsar la aprobación de los ajustes a los Acuerdos que regulan el funcionamiento de las residencias y monitorias con las políticas y objetivos del Sistema de Cultura y Bienestar. </t>
  </si>
  <si>
    <t xml:space="preserve">Remisión al  Consejo Superior  para su aprobación
Proyecto avalado </t>
  </si>
  <si>
    <t>Vicerrectoría de Cultura y Bienestar/División de Gestión de Salud Integral y Desarrollo Humano
Vicerrectoría Administrativa</t>
  </si>
  <si>
    <t>Oficio
Registro de asistencia</t>
  </si>
  <si>
    <t xml:space="preserve">
I semestre 2024:
Acta 7.1-1.56/01 del 16/02/2023, incluye Aprobación de la reforma de los Acuerdos Superiores 030 de 2015 y 040 de 2015
Socialización de la propuesta del nuevo acuerdo que regirá el uso de las Residencias Universitrias, ante el Comité de Dirección el día 6 de marzo de 2023.
Se envío vía correo electrónico la propuesta a la Oficina Jurídica para su revisión el dia 19 de abril de 2023, en revisión hasta la fecha.
Oficio 7.4-92.8/187 del 13/06/2023, solicitud de reunión para abordar temas
Acuerdo Superior 066, Propuesta de modificación del  Acuerdo y Solicitud de espacio en el Consejo Académico
Oficio 5-71.7/0243 del 04 de mayo de 2023 - designación interlocutor de la Vice- Adm.
Documento con la propuesta de ajuste al acuerdo.
Oficios:
Oficio 7.2-92.8/710 del 26/10/2023
Oficio 7.4-92.8/187 de 13 junio 2023- solicitud reunión Vicerrector Administrativo, reliquidación de matrículas, Acuerdo 052/2016, y 066/2008 y plan padrino
Oficio 7.4-92.8/221 del 18 de octubre de 2023, solicitud al Vicerrector de Cultura para entrega de la revisión de propuesta de acuerdo 040/2003 a Oficina asesora jurídica.
Oficio 7.4-52.5/288 del 17 agosto 2023, solicitud a Jefe Oficina Jurídica concepto  modificación acuerdo 040/2003
</t>
  </si>
  <si>
    <t xml:space="preserve">Para el segundo semestre 2024 se evidenció el Acuerdo Superior 011 del 22/04/2024 que establece el funcionamiento y la regulación de las residencias universitarias estudiantiles. Y deroga el Acuerdo Superior 040 de 2003
Sin soportes adicionales a los reportados en el I semestre 2024 para la reglamentación de las monitorías (Acuerdo Superior 066 de 2008)
Se asigna avance de 75%.
</t>
  </si>
  <si>
    <t>Atemperar y direccionar  las minutas contractuales de arrendamiento del espacio de cafeterías como servicio de apoyo al bienestar universitario.</t>
  </si>
  <si>
    <t>Porcentaje de Minutas ajustadas al Sistema de Cultura y Bienestar</t>
  </si>
  <si>
    <t>Vicerrectoría de Cultura y Bienestar/División de Gestión de Salud Integral y Desarrollo Humano/Oficina Jurídica</t>
  </si>
  <si>
    <t>Contratos ajustados</t>
  </si>
  <si>
    <t>Con oficio 7.2-52/189 del 10/04/2023, se envío los términos de referencia de Cafeterías:
Contratos de arrendamiento 5.5-31.1/007, 5.5-31.1/008, 5.5-31.1/011, 5.5-31.1/012, 5.5-31.1/013, 5.5-31.1/014, 5.5-31.1/015, 5.5-31.1/016, 5.5-31.1/017 de 2022.
Desiganaciones de supervisor:  5.5-52.31/1021 19/10/2022, 5.5-52.31/1082 del 28/10/2022, 5.5-52.31/1086 del 31/10/2022, 5.5-52.31/1137 04/11/2022, 5.5-52.31/1138 04/11/2022, 5.5-52.31/1151 08/11/2022, 5.5-52.31/1165 09/11/2022, 5.5-52.31/1210 15/11/2022, 5.5-52.31/1247 22/11/2022
Acta 7.4-1.56/16 del 22/02/2023 y 7.4-1.56/25 del 03/03/2023 de reuniones con supervisores, arrendatarios y Vicerrector de Cultura
Propuesta Política Saludable aplicada a restaurantes, kioscos, puntos de venta de dulces, cafeterías y sus espacios saludables, pertenecientes a la Universidad del Cauca</t>
  </si>
  <si>
    <t>En los nuevos contratos de arrendamiento de las cafeterías, se designa como supervisor a cada Decano. El Vicerrector de Cultura y Bienestar cita a reuniones en las que se dan orientaciones referentes a los aspectos básicos de la norma.
Adjudicación de contratos para las cafeterías, se solicitó el curso de manipulación de alimentos.
Política de cafeterías se encuentra terminada – Pendiente de aprobación
Las minutas se atemperaron, especificando en la clausula sexta, las obligaciones de las partes.</t>
  </si>
  <si>
    <t>Efectividad de 83%.
El ajuste de  las minutas contractuales de arrendamiento del espacio de cafeterías, se realizó por fuera del tiempo programado.
Gestión 100%, se contempla los espacios de cafetería como como servicio de apoyo al bienestar universitario, con clausulas de responsabilidades para los arrendatarios y designación de supervisión a los Decanos de cada Facultad.
Impacto 100%, se realiza seguimiento y reuniones del Vicerrectori de Cultura y Bienestar con arrendatarios como control al cumplimiento de las obligaciones y otros temas.
Está en proyectó la Política de cafeterías</t>
  </si>
  <si>
    <t>La estrategia evaluada no se sujeta a los lineamientos de carácter general del Decreto 1295/2010 y la Guía para la implementación del Modelo de Gestión de Permanencia y Graduación Estudiantil en las IES, por lo que ni el documento ni el Plan logran satisfacer los proyectos estratégicos, los objetivos internos ni los lineamientos gubernamentales que orientan la política de permanencia y graduación estudiantil.</t>
  </si>
  <si>
    <t xml:space="preserve">Ausencia de la política y del modelo de gestión y permanencia y graduación que articule con el Sistema de Cultura y Bienestar la planeación,  ejecución y control de planes, programas y proyectos de bienestar del estamento estudiantil, conforme a las  necesidades del contexto institucional  y a las políticas públicas gubernamentales. </t>
  </si>
  <si>
    <t xml:space="preserve">Implementar el  modelo de gestión de  permanencia y graduación institucional, considerando las estrategias, acciones y herramientas previstas en la guía metodológica del Ministerio Educación Nacional, con el fin de articular las políticas y objetivos del Sistema de Cultura y Bienestar con las políticas públicas gubernamentales que orientan los programas y proyectos de bienestar para el estamento estudiantil. </t>
  </si>
  <si>
    <t>Adoptar  el Programa de Permanencia y Graduación-PPG considerando las fases de implementación del Modelo de Gestión de Permanencia y Graduación Estudiantil (Autoevaluar, Planear, Ejecutar, Verificar).</t>
  </si>
  <si>
    <t>Programa de Permanencia y Graduación adoptado</t>
  </si>
  <si>
    <t xml:space="preserve">Vicerrectoría de Cultura y Bienestar </t>
  </si>
  <si>
    <t>Documento del Modelo de Permanencia aprobado</t>
  </si>
  <si>
    <t>El Plan de Desarrollo Institucional 2018-2022 considera en su eje “Formación Integral con Cultura y Bienestar” el programa “Permaneser” y proyecto “Implementación del Modelo de permanencia y graduación estudiantil”, cuyo avance en ejecución reportada en la ficha de resumen de proyectos y avances de la Oficina de Planeación y Desarrollo Institucional-OPDI registra 47%, sobre la base de cinco (5) indicadores. 
El Vicerrector de Cultura y Bienestar y la docente encargada de coordinar el Programa informó en el seguimiento, que al iniciar cada periodo académico se extrae información del Sistema Integrado de Matricula y Control  Académico-SIMCA, para determinar el índice de deserción y  repitencia como referente a las medidas de control desde PERMANESER. 
También se informó sobre las siguientes actividades:
 Desarrollo del diplomado de permanencia y graduación. 
 Apoyo a estudiantes generación E. 
 Acompañamiento en matemática y lectura escritura. 
 Semillero de matemáticas – Colegio Antonio García Paredes. 
 Apoyo Huertas.
 Apoyo psicosocial Unidad de Salud.</t>
  </si>
  <si>
    <t>Efectividad del 67%
Gestión 100%, se adoptó la política de Programa Permanencia y Graduación, Acuerdo Superior 052. 
Impacto 50%, sin evidencia de revisión y actualización desde su aprobación.</t>
  </si>
  <si>
    <t xml:space="preserve">Conformar y determinar los roles del equipo universitario responsable de la  implementación del programa de Permanencia y Graduación para la Universidad del Cauca. </t>
  </si>
  <si>
    <t>Equipo con roles asignados</t>
  </si>
  <si>
    <t>Vicerrectoría de Cultura y Bienestar/Vicerrectoría Académica</t>
  </si>
  <si>
    <t>Acto de conformación del equipo con asignacón de roles</t>
  </si>
  <si>
    <t>• El Plan de Desarrollo Institucional 2018-2022 considera en su eje “Formación Integral con Cultura y Bienestar” el programa “Permaneser” y proyecto “Implementación del Modelo de permanencia y graduación estudiantil”, cuyo avance en ejecución reportada en la ficha de resumen de proyectos y avances de la Oficina de Planeación y Desarrollo Institucional-OPDI registra 47%, sobre la base de cinco (5) indicadores. 
El Vicerrector de Cultura y Bienestar y la docente encargada de coordinar el Programa informó en el seguimiento, que al iniciar cada periodo académico se extrae información del Sistema Integrado de Matricula y Control  Académico-SIMCA, para determinar el índice de deserción y  repitencia como referente a las medidas de control desde PERMANESER. 
También se informó sobre las siguientes actividades:
 Desarrollo del diplomado de permanencia y graduación. 
 Apoyo a estudiantes generación E. 
 Acompañamiento en matemática y lectura escritura. 
 Semillero de matemáticas – Colegio Antonio García Paredes. 
 Apoyo Huertas.
 Apoyo psicosocial Unidad de Salud.</t>
  </si>
  <si>
    <t>Equipo ejecutor. Coordinadora docente con asignación de labor académica. 10 horas. No tiene categoría de coordinador. 
Dos profesores solicitaron PERMANESER-FACA (5 horas) Y BIOLOGÍA (5 horas). 
Salud Integral: psicopedagógico. No existe una clara articulación entre el comité ejecutor y la División de Salud Integral. 
Pendiente revisar el equipo de apoyo al programa.</t>
  </si>
  <si>
    <t>verificar la  previsión de recursos para la implementación de los proyectos de bienestar y de las oportunidades de mejora del CNA.</t>
  </si>
  <si>
    <t>Monitoreo al Programa de Permanencia y Graduación implementado y monitoreado</t>
  </si>
  <si>
    <t>Informes de monitoreo</t>
  </si>
  <si>
    <t xml:space="preserve">La Vicerrectoría de Cultura y Bienestar dio respuesta al requerimiento de avance corte diciembre 2021, refiriendo con oficio 7.2-92.8/017 del 17/01/2022, refiriendo la implementación del programa Permaneser. </t>
  </si>
  <si>
    <t xml:space="preserve">La OCI con base en la Unidad de Medida asigna avance del  100%
La OCI recomienda realizar seguimiento a la ejecución presupuestal del proyecto con base en indicadores. </t>
  </si>
  <si>
    <t>Efectividad del 75%
Se realizaron seguimientos al proyecto estratégico "Implementación del Modelo de permanencia y graduación estudiantil" con avance del 77% a junio del 2022.
Gestión 100%, se Monitorea al Programa de Permanencia y Graduación 
Impacto sin valoración</t>
  </si>
  <si>
    <t>La Universidad carece de un sistema de información de apoyo al manejo de la deserción estudiantil, con lo que las fuentes de información estadística tomadas en cuenta para el diagnóstico en el período 2010 a 2015 no garantizan absoluta certeza.</t>
  </si>
  <si>
    <t xml:space="preserve">Reportar a partir  las fuentes de información de la Vicerrectoría de Cultura y Bienestar, sobre estadísticas sobre deserción estudiantil. </t>
  </si>
  <si>
    <t xml:space="preserve">Organizar y sistematizar la información de los estudiantes que cancelan matricula académica. </t>
  </si>
  <si>
    <t>Información organizada y sistematizada</t>
  </si>
  <si>
    <t xml:space="preserve">Reportes con información veráz remitido a OPDI. </t>
  </si>
  <si>
    <t xml:space="preserve">Se realizó el contrato de prestación de servicios No. 5.5-31.5/365 de 31 de marzo de 2023, contratista Melisa Espinosa Rivera, quien adelanta la sistematización de la información de los estudiantes que cancelaron matricula académica en los años 2017, 2018, 2019 y 2022, con el fin de realizar el diagnostico e informe actualizado de los motivos de cancelación de los estudios de pregrado, que permitan realizar la planeación y ejecución de programas y proyectos de bienestar conforme a las necesidades de la comunidad estudiantil, aportando  así a la permanencia y graduación. 
DIAGNÓSTICO DE CANCELACIÓN DE SEMESTRE AÑOS 2017,2018,2019 y 2022 </t>
  </si>
  <si>
    <t xml:space="preserve">Se cumple con la meta de la actividad con la presentación del diagnostico que contiene información organizada y sistematizada de la cancelación de la matrícula académica, y presenta un comparativo desde la vigencia 2011 a 2022 en la Universidad del Cauca.
Se presentan conclusiones y recomendaciones para fortalecer el programa de Permanencia y Graduación </t>
  </si>
  <si>
    <t xml:space="preserve">No hay avances, sobre el tema. No ha sido posible coordinar la información. Unicauca en cifras. 
La propuesta de alertas tempranas, podría ser una forma en que la vice intenta obtener información sobre la deserción. 
Viceacadémica tiene modulo consulta SIMCA. Protocolos de control de la información. Con esto se pretende unificar y obtener información. </t>
  </si>
  <si>
    <t xml:space="preserve">Organizar y sistematizar de los estudiantes usuarios del Programa de Permanencia y Graduación. </t>
  </si>
  <si>
    <t>Con oficio 7.1-20.8/31 del 17/10/2023 la Coordinadora Programa PermaneSer complementó la información presentando INFORME DE ATENCIONES DEL PROGRAMA PERMANESER DE LA UNIVERSIDAD DEL CAUCA VIGENCIA 2022, VICERRECTORÍA DE CULTURA Y BIENESTAR.</t>
  </si>
  <si>
    <t>Se cumple con la meta de la actividad con la presentación del informe de atenciones del programa PermaneSer a estudiantes de pregrado de la vigencia 2022.
No se evidenció las conclusiones y acciones resultantes del Diagnóstico.</t>
  </si>
  <si>
    <t xml:space="preserve">Salud integral realiza diagnóstico cada 3 años sobre las causas. </t>
  </si>
  <si>
    <t xml:space="preserve">
Reportar a partir  las fuentes de información de la Vicerrectoría de Cultura y Bienestar, sobre estadísticas sobre deserción estudiantil. </t>
  </si>
  <si>
    <t>Reportar a la Oficina de Planeación y de Desarrollo Institucion la información consolidada sobre permanencia y graduación</t>
  </si>
  <si>
    <t>Información reportada</t>
  </si>
  <si>
    <t>Reportes de información</t>
  </si>
  <si>
    <t>Efectividad del 78%
Promedio eficacia y eficinenca de 84%
Gestión 50% e impacto 100%: se continua consolidando la información de las atenciones realizadas por el programa PermaneSer, con reportes a los interesados, pero no se evidencia la articulación con la Oficina de Planeación y Desarrollo Institucional, en lo relacionado al reporte en SPADIES en cuanto a indices de deserción y retención estudiantil.</t>
  </si>
  <si>
    <t>El informe  final de acreditación institucional emitido en el 2012, describe objetivos y estrategias que no responden a las problemáticas de retención y deserción, limitando las acciones de mejora a la construcción e implementación de un sistema de información que “mida la efectividad de los procesos académicos”.</t>
  </si>
  <si>
    <t xml:space="preserve">Ausencia de la política de permanencia y graduación que articule con el Sistema de Cultura y Bienestar la planeación,  ejecución y control de planes, programas y proyectos de bienestar del estamento estudiantil, conforme a las  necesidades del contexto institucional  y a las políticas públicas gubernamentales. </t>
  </si>
  <si>
    <t xml:space="preserve">Formular la política de Permanencia y Graduación articulada al Sistema de Cultura y Bienestar, y a las políticas públicas gubernamentales. </t>
  </si>
  <si>
    <t>Elaborar un diagnóstico sobre las causales para la deserción vigencias 2013 - 2017</t>
  </si>
  <si>
    <t>Diagnóstico realizado</t>
  </si>
  <si>
    <t>Documento de Diagnóstico</t>
  </si>
  <si>
    <t xml:space="preserve">El Acuerdo 052 de 2018 adopta la política de Fomento a la Permanencia y Graduación Estudiantil en la Universidad del Cauca a partir de seis componentes, sobre la cual se determinó el programa Permaneser. </t>
  </si>
  <si>
    <t xml:space="preserve">
La OCI asigna avance del 100%. </t>
  </si>
  <si>
    <t>Efectividad del 50%
Se realizó un diagnostico de causales de deserción, sin embargo, se encuentra pendiente su actualización vigencias 2017-2022.</t>
  </si>
  <si>
    <t xml:space="preserve">Determinar las líneas estratégicas para atender las causas de deserción identificadas </t>
  </si>
  <si>
    <t>Documento de análisis estratégico</t>
  </si>
  <si>
    <t>Documento de análisis de estrategias</t>
  </si>
  <si>
    <t>Diseñar y adoptar la política acorde al contexto institucional y a los lineamientos generales aplicables</t>
  </si>
  <si>
    <t>Politica diseñada y adoptada</t>
  </si>
  <si>
    <t>Politica aprobada</t>
  </si>
  <si>
    <t>Efectividad del 50%
Se adoptó la pólitica de permanencia y graduación, sin revisión y actualización acorde al contexto institucional.</t>
  </si>
  <si>
    <t>Los proyectos estratégicos de tratamiento a las oportunidades de mejora no han logrado un desarrollo adecuado, a partir del diagnóstico presentado en el informe de autoevaluación institucional para la acreditación.</t>
  </si>
  <si>
    <t>Debilidad de un trabajo desde la planeación como herramienta estratégica para la previsión de recursos y monitoreo como fases previas y concomitantes que aseguren la implementación de los programas y  proyectos dentro del desarrollo del Plan de Acción de la Vicerrectoría de Cultura y Bienestar.</t>
  </si>
  <si>
    <r>
      <t xml:space="preserve">
</t>
    </r>
    <r>
      <rPr>
        <b/>
        <sz val="11"/>
        <color rgb="FF000000"/>
        <rFont val="Arial"/>
        <family val="2"/>
      </rPr>
      <t xml:space="preserve">Verificar en el PDI 2018-2022, los programas y proyectos relacionados con las oportunidades de mejora de bienestar del estamento estudiantil. 
</t>
    </r>
  </si>
  <si>
    <r>
      <t xml:space="preserve">Construir indicadores de seguimiento y evaluación que permita ser estratégico en la toma de decisiones para implementar estrategias de impacto.
</t>
    </r>
    <r>
      <rPr>
        <b/>
        <sz val="11"/>
        <color rgb="FF000000"/>
        <rFont val="Arial"/>
        <family val="2"/>
      </rPr>
      <t xml:space="preserve">Determinar los indicadores para la medición del Plan de Acción de la Vicerrectoría de Cultura y Bienestar. 
Determinar la herramienta técnica para monitorear los Programas y proyectos de la Vicerrectoría de Cultura y Bienestar, en términos de la ejecución presupuestal, impacto, pertinencia y coherencia con la oportunidad de mejora y control. </t>
    </r>
  </si>
  <si>
    <t>. 
Indicadores construidos</t>
  </si>
  <si>
    <t>Gestión de la Cultura y el Bienestar</t>
  </si>
  <si>
    <t>Documento de Plan de Acción con indicadores</t>
  </si>
  <si>
    <t xml:space="preserve">
El Plan de Desarrollo Institucional 2018-2022 considera en su eje “Formación Integral con Cultura y Bienestar” el programa “Permaneser” y proyecto “Implementación del Modelo de permanencia y graduación estudiantil” con cinco (5) indicadores. </t>
  </si>
  <si>
    <t>Efectividad del 64%.
Gestión 100%, Se realizó seguimiento unicamente a los indicadores contemplados en el Plan de Desarrollo Institucional - PDI 2018-2022, que asigna avance de 93% para el eje de formación integral con Cultura y Bienestar a su cierre.
Impacto 50%, sin evidencia del análisis de los resultados obtenidos, por cuanto el monitoreo lo consolidó la Oficina de Planeación y Desarrollo Institucional.</t>
  </si>
  <si>
    <t xml:space="preserve">Armonizar las oportunidades de mejora vigentes con los nuevos proyectos del PDI 2018-2022 "Hacia una Universidad comprometida con la Paz Territorial" Esta sería la oportunidad de mejora. </t>
  </si>
  <si>
    <t xml:space="preserve">. 
Porcentaje de oportunidades de mejora del CNA incluidas en el PDI. </t>
  </si>
  <si>
    <t>Documento del PDI con las oportunidades de mejora articuladas</t>
  </si>
  <si>
    <t>Efectividad del 89%,
Gestión 100%, El Plan de Desarrollo Institucional 2023-2027, por una Universidad de excelencia y solidaria, contempla el eje Cultura y Bienestar como impulsor del desarrollo institucional con definición de indicadores.
Impacto 100%, el PDI contempla el análisis a las oportunidades de mejora del CNA</t>
  </si>
  <si>
    <t>Verificar la  previsión de recursos para la implementación de los proyectos de bienestar y de las oportunidades de mejora del CNA.</t>
  </si>
  <si>
    <t>. 
Presupuesto asignado para Cultura y Bienestar</t>
  </si>
  <si>
    <t xml:space="preserve">Gestión de la Cultura y el Bienestar
</t>
  </si>
  <si>
    <t xml:space="preserve">Acto administrativo  </t>
  </si>
  <si>
    <t>Los procedimientos documentados para los programas y servicios de bienestar estudiantil, no facilitan su operación.</t>
  </si>
  <si>
    <t>Procedimientos desactualizados sin articulación con las normatividades internas y políticas institucionales; sin reglamentación técnica que no aclara los procesos.</t>
  </si>
  <si>
    <t>Revisar, ajustar, actualizar  y crear  procedimientos que permitan evidenciar los procesos claros de Bienestar.</t>
  </si>
  <si>
    <t xml:space="preserve">Identificar los procedimientos desactualizados y/o susceptibles a mejora. </t>
  </si>
  <si>
    <t>Reuniones para revisar los documentos en cada división</t>
  </si>
  <si>
    <t>Procedimientos actualizados en el Programa Lvmen</t>
  </si>
  <si>
    <t xml:space="preserve">Se identificó y depuró la información de la Vicerrectoría de Cultura en el Programa Lvmen.
Acta 7.4-1.56/61 del 26/10/2021  y acta 7.4-1.56/64 del 27/10/2021
Con oficio 7.2-92.8/158 del 24/03/2023 la Vicerrectoría de Cultura solicitó ampliación de la fecha fin.
Acta 7.3-1.56/109 del 20/04/2023, de Revisión formatos LVMEN la División de Recreación y el Deporte
   </t>
  </si>
  <si>
    <t>La Vicerrectoría de Cultura y Bienestar y sus Divisiones identifican la necesidad de documentos del programa Lvmen a Actualizar.
Se evidencia acta  7.3-1.56/109 sin firmas.</t>
  </si>
  <si>
    <t>Efectividad del 75%
Se revisó los documentos a actualizar en el Programa Lvmen de la Vicerrectoría de Cultura y Binestar.
Gestión 100%, se cuenta con diagnóstico de los procedimientos y formatos a actualizar.
Impacto 25%, no se visibiliza la actualización en el Pograma Lvmen.</t>
  </si>
  <si>
    <t xml:space="preserve">Ajustar y actualizar los procedimientos en cuanto a su documentación y observancia a las normas, políticas y objetivos institucionales. </t>
  </si>
  <si>
    <t xml:space="preserve">Reuniones con diferentes actores para los nuevos documentos y/o ajustes respectivos a los procesos y procedimientos </t>
  </si>
  <si>
    <t>Con corte a II semestre 2024, se evidencian actividades tendientes a lograr la actualización de los documentos de la Vicerrectoría de Cultura y Bienestar en el Programa Lvmen, sin embargo, no se evidenció la actualización de los procedimientos referenciados en las actas de reunión 7.2-3.58/027 a 032. 
Gestión de la cultura evidencia algunos formatos y procedimientos actualizados en la vigencia 2023, sin embargo, aún presenta formatos y procedimientos sin actualizar.
Se evidencias las gestiones para la actualización de los documentos del Programa Lvmen, por lo que se asigna porcentaje de avance de 80%.</t>
  </si>
  <si>
    <t>Implementar en la operación del proceso los procedimientos mejorados.</t>
  </si>
  <si>
    <t xml:space="preserve">Dar a conocer  los procedimientos y procesos </t>
  </si>
  <si>
    <t>La distribución, el control y la ejecución de los recursos económicos asignados al Sistema de Cultura y Bienestar, no satisfacen integralmente las necesidades de los programas y servicios de bienestar estudiantil.</t>
  </si>
  <si>
    <t>No se cuenta con una conciencia de inversión presupuestal real, necesaria para cumplir con el Bienestar al interior de la Universidad del Cauca</t>
  </si>
  <si>
    <t>Presentar dentro del proceso de planeación presupuestal los programas, proyectos y servicios de la VICECB que permita una coherencia entre la ejecución de los mismos y la asignación de recursos para cada uno de los programas del plan de acción en concordancia con el PDI</t>
  </si>
  <si>
    <t xml:space="preserve">Planificar las acciones y actividades de la vigencia siguiente considerando el Plan de Acción de la VICEB. 
</t>
  </si>
  <si>
    <t xml:space="preserve">Plan de Trabajo de la vigencia </t>
  </si>
  <si>
    <t>PDI - Programas y proyectos. Inversión y funcionamiento (deporte, salud integral y bienestar). Plan Acción 2018 - enero junio - julio diciembre. Cada División y Programa. 
Programa vigencia 2018-2019. Comité estratégico cada martes pedir las actas. Cuatrismetre.informes consilidados. Inversiones Isabel, que envie como hace control al presupuesto. inversión y funcionamiento.</t>
  </si>
  <si>
    <t>Incumplimiento de las normas básicas de gestión documental en cuanto a los registros de monitorias, supervisión de cafeterías, póliza estudiantil, actas de Consejo de Bienestar.</t>
  </si>
  <si>
    <t>Falta de cumplimiento a las normas de gestión documental en los archivos de la Vicerrectoría de Cultura y Bienestar  y sus divisiones</t>
  </si>
  <si>
    <t>Apropiar las normas de gestión documental de la VICECB y sus divisiones para un mejor manejo y registro de la documentación</t>
  </si>
  <si>
    <t>Capacitar a las secretarias de las divisiones y dirección central de la VICECB y a su vez a los equipos de las divisiones y programas que manejan y producen documentos</t>
  </si>
  <si>
    <t>Capacitaciones realizadas y archivos gestionados</t>
  </si>
  <si>
    <t>Vicerrectoría de Cultura y Bienestar y Secretaría General</t>
  </si>
  <si>
    <t>Registros de solcitud y capacitación</t>
  </si>
  <si>
    <t>La Vicerrectoría de Cultura y Bienestar dio respuesta al requerimiento de avance corte diciembre 2021 con oficio 7.2-92.8/017 del 17/01/2022, informa sobre las capacitaciones realizadas por la Secretaría General en asuntos de gestión documental.</t>
  </si>
  <si>
    <t xml:space="preserve">Auditoría del Área de Gestión documental. Revisar el acta de Gestión Documental. </t>
  </si>
  <si>
    <t xml:space="preserve">Diseñar e implementar el plan de trabajo para la organización del archivo de gestión. </t>
  </si>
  <si>
    <t>Plan de Trabajo diseñado e implementado</t>
  </si>
  <si>
    <t>Vicerrectoría de Cultura y Bienestar/División de Gestión de Cultura/División de Gestión de Salud Integral y Desarrollo Humano/División de Gestión de la Recreación y del Deporte</t>
  </si>
  <si>
    <t xml:space="preserve">Documento Plan de Trabajo </t>
  </si>
  <si>
    <t xml:space="preserve">Monitorear la aplicación del Plan de Trabajo de gestión documental.  </t>
  </si>
  <si>
    <t>Seguimiento y monitoreos realizado</t>
  </si>
  <si>
    <t xml:space="preserve">Registros monitoreo. </t>
  </si>
  <si>
    <t xml:space="preserve">VICERRECTORIA DE CULTURA Y BIENESTAR- DIVISION DE GESTION DE SALUD INTEGRAL Y DESARROLLO HUMANO </t>
  </si>
  <si>
    <t>14/07/2022</t>
  </si>
  <si>
    <t>Diego Huamán - Olga Camacho</t>
  </si>
  <si>
    <t>INFORME 2.6-52.18/09 DE 2022 DE EVALUACIÓN AL PROCEDIMIENTO DE RELIQUIDACIÓN DE MATRÍCULAS – UNIVERSIDAD DEL CAUCA.</t>
  </si>
  <si>
    <t xml:space="preserve">Formulación </t>
  </si>
  <si>
    <t>Se requiere plan de mejora acorde a las observaciones y recomendaciones del INFORME 2.6-52.18/09 DE 2022 DE EVALUACIÓN AL PROCEDIMIENTO DE RELIQUIDACIÓN DE MATRÍCULAS – UNIVERSIDAD DEL CAUCA.</t>
  </si>
  <si>
    <t>Las normas referidas a la reliquidación de matrícula financiera AS 052/2009 (Reglamento Interno de Cartera) y AS 052 del 2016 expedido con motivo de la Sentencia T-277 del 2016, no armonizan con los criterios de liquidación previstos en el AS 049 de 1998, con lo que los efectos de valoración frente a las condiciones socioeconómicas cambiantes, desde la figura del descuento, adquieren una connotación que dista del objeto del fallo de tutela.</t>
  </si>
  <si>
    <t>Desarticulación de norma vigente (AS 052/2009 Reglamento Interno de Cartera) y AS 052 del 2016) con los  procedimientos internos y externos para la reliquidación de matrícula financiera</t>
  </si>
  <si>
    <t xml:space="preserve">Ajustar la normatividad vigente relacionada con el proceso de reliquidación de matrícula </t>
  </si>
  <si>
    <t xml:space="preserve">Revisar la normatividad  interna existente para identificar aspectos discrepantes entre estas y el proceso. </t>
  </si>
  <si>
    <t xml:space="preserve">Reuniones de revisión </t>
  </si>
  <si>
    <t xml:space="preserve"> VICERRECTORIA ADMINISTRATIVA y DIVISION DE GESTION DE SALUD INTEGRAL Y DESARROLLO HUMANO</t>
  </si>
  <si>
    <t xml:space="preserve">Actas de reunión </t>
  </si>
  <si>
    <t>Con oficio 7.4-52.5/416 del 05/12/2023 la División de gestión integral y desarrollo humano presentó:
Actas de reunión 7.4-1.56/99 del 26/10/2023 y 7.4-1.56/127 del 03/11/2023 de asunto: revisión de la  proyección del nuevo Acuerdo de Reliquidación de matrícula.</t>
  </si>
  <si>
    <t>Se cuenta con evidencia de las sesiones del Comité de reliquidación de matrículas, donde mencionan la revisión  de las Leyes y reglamentos que se encuentran en la consideración del acuerdo, a fin de tener en cuenta las últimas tutelas frente al Acuerdo de reliquidación vigente.</t>
  </si>
  <si>
    <t>Revisar la normatividad externa vigente para incluir aspectos aplicables al proceso de reliquidación de matrícula en la Universidad del Cauca</t>
  </si>
  <si>
    <t>Acta de reunión No. 7.4-1.56/14 del 17 de febrero de 2023, asunto: Revisión información Universidades con reliquidación de matricula 
Acta de reunión No. 7.4-1.56/24 del 24 de febrero de 2023, Asunto: Revisión información Universidades con reliquidación de matricula y Aspectos a tener en cuenta para Proyección Acuerdo Reliquidación</t>
  </si>
  <si>
    <t>Se evidenció las reuniones conjuntas con la Vicerrectoria Administrativa donde se revisó la normatividad externa, y aspectos a considerar de otras instituciones donde se aplican procedimientos de reliquidación de matriculas.
Actas sin firmas</t>
  </si>
  <si>
    <t>Desactualización de las normas internas que regulan las liquidaciones de matrícula financiera, respecto de las prescripciones de la Ley 2155 de 2021- de Inversión Social- y el Decreto Legislativo 662 de 2020 por el cual se crea el Fondo Solidario para la Educación</t>
  </si>
  <si>
    <t>Desarticulación de norma vigente ( AS 052/2009 (Reglamento Interno de Cartera) y AS 052 del 2016) con los  procedimientos internos y externos para la reliquidación de matrícula financiera</t>
  </si>
  <si>
    <t>Proyectar propuesta de nuevo acuerdo para la reliquidación de matrícula.</t>
  </si>
  <si>
    <t>Propuesta de nuevo acuerdo realizada</t>
  </si>
  <si>
    <t xml:space="preserve">Documento propuesta </t>
  </si>
  <si>
    <t xml:space="preserve">Efectividad de 69%:
Promedio eficacia y eficiencia: 83%
Gestión 100% e impacto: 25%, se continuó con las sesiones de trabajo para el ajuste del acto administrativo que regula la reliquidación de matrículas (Acuerdo Superior 016/2016), con propuesta consolidada para trámites posteriores. Pero aun no se presenta la propuesta del Acuerdo con los ajustes consolidados.
</t>
  </si>
  <si>
    <t xml:space="preserve">Revisar y ajustar  la propuesta de nuevo acuerdo para la requilidación de matrícula. </t>
  </si>
  <si>
    <t>Propuesta de acuerdo revisada</t>
  </si>
  <si>
    <t>OFICINA JURIDICA</t>
  </si>
  <si>
    <t>Documento  propuesta ajustado</t>
  </si>
  <si>
    <t>En oficio 7.1-55.6/906 del 25/11/2024, el vicerreector de Cultura y Bienestar, solicita a la oficina Jurídica, envíe las observaciones a la propuesta de modificación del A.S. 052 de 2016.
No se evidencia el anexo al oficio del documento consolidado y enviado a la oficina Jurídica.</t>
  </si>
  <si>
    <t xml:space="preserve">Presentar la propuesta para aprobación en Comité de reliquidación de matrícula </t>
  </si>
  <si>
    <t xml:space="preserve">Reunión para aprobación </t>
  </si>
  <si>
    <t xml:space="preserve">COMITÉ DE RELIQUIDACION </t>
  </si>
  <si>
    <t>Documento aprobado por Comité Reliquidación</t>
  </si>
  <si>
    <t>Sin evidencia</t>
  </si>
  <si>
    <t>A la fecha no se evidencia el acta de la sesión  del Comité de reliquidación para aprobar la propuesta de modificación de A.s. 05 de 2016.
Avence 0%</t>
  </si>
  <si>
    <t xml:space="preserve">Presentar el acuerdo al Consejo de Cultura y Bienestar y demás entes corporativos </t>
  </si>
  <si>
    <t>Propuesta de acuerdo aprobada</t>
  </si>
  <si>
    <t>COMITÉ DE RELIQUIDACIÓN
Y VICERRECTOR DE CULTURA Y B.</t>
  </si>
  <si>
    <t>Documento aprobado por Consejo de Cultura</t>
  </si>
  <si>
    <t>Sin avance</t>
  </si>
  <si>
    <t>Presentar el proyecto de Acuerdo ante el  Consejo Superior</t>
  </si>
  <si>
    <t xml:space="preserve">Acuerdo Superior aprobado </t>
  </si>
  <si>
    <t>CONSEJO DE CULTURA Y BIENESTAR
RECTOR</t>
  </si>
  <si>
    <t xml:space="preserve">Documento aprobado </t>
  </si>
  <si>
    <t>La reliquidación de matrícula opera sin lineamientos documentados en las fases del ciclo PHVA, con ausencia de actividades, responsables y puntos de control, además de criterios para el desarrollo integral y mejora del procedimiento.</t>
  </si>
  <si>
    <t>No se cuenta con lineamientos estructurales para el procedimiento de reliquidación de matrícula</t>
  </si>
  <si>
    <t>Estructurar los  lineamientos para el procedimiento de reliquidación de matrícula</t>
  </si>
  <si>
    <t xml:space="preserve">Documentar el procedimiento que oriente y facilite la operación de la Reliquidación de Matrículas con base en el ciclo PHVA. 
</t>
  </si>
  <si>
    <t>Procedimiento documentado e implementado</t>
  </si>
  <si>
    <t xml:space="preserve">VICERRECTORIA DE CULTURA Y BIENESTAR - DIVISION DE GESTION DE SALUD INTEGRAL y DESARROLLO HUMANO
VICERRECTORÍA ADMINISTRATIVA </t>
  </si>
  <si>
    <t>Con oficio 7.4-52.5/416 del 05/12/2023 la División de gestión integral y desarrollo humano presentó:
Desde la Division de Gestión de Salud Integral y Desarrollo Humano se tiene elaborada una propuesta para el procedimiento de reliquidación de matricula, pero este se encuentra sujeto a la aprobación de la proyección del nuevo acuerdo.
Procedimiento reliquidación de matrícula 14/04/2023</t>
  </si>
  <si>
    <t>Carencia de instrumentos documentados para la presentación de la información unificada, precisa y suficiente, relativa a los requisitos para el estudio socioeconómico</t>
  </si>
  <si>
    <t>No se cuenta con instrumentos para la presentación y seguimiento de los requisitos para la reliquidación de matrícula</t>
  </si>
  <si>
    <t>Generar instrumentos para la presentación y seguimiento de los requisitos para  la reliquidación de matrícula</t>
  </si>
  <si>
    <t xml:space="preserve">Elaborar los instrumentos necesarios para operativizar el procedimiento de reliquidación de matrícula </t>
  </si>
  <si>
    <t>Instrumentos elaborados e implementados</t>
  </si>
  <si>
    <t>Para el II semestre de 2024, con oficio 7.2-55.6/646 del 12 de diciembre de 2024, la Vicerrectoría de cultura y bienestar presentó: 
PA-GU-7-FOR-16 Formato de Solicitud de Beneficios V2 (1).docx
PA-GU-7-FOR-17 Formato de Visita domiciliaria V4 (1).docx
PA-GU-7-FOR-70 Entrevista Presencial-Telefonica V3 (1).docx</t>
  </si>
  <si>
    <t>Se evidenció la actualización de algunos formatos relacionados con el procedimiento de reliquidación de matrículas.
Se asigna avance de 75%</t>
  </si>
  <si>
    <t>Las solicitudes de reliquidación de matrícula financiera no se articulan directamente con el Sistema PQRSF en la presentación y términos de respuesta.</t>
  </si>
  <si>
    <t>No se articula el Acuerdo Superior 052 del 2016 con los lineamientos del Sistema PQRSF.</t>
  </si>
  <si>
    <t xml:space="preserve">Definir criterios de articulación entre los procedimientos de PQRSF y la reliquidación de matricula. </t>
  </si>
  <si>
    <t xml:space="preserve">Revisión de los procedimientos correspondientes al sistema PQRSF y su articulación en el procedimiento de reliquidación de matrícula. </t>
  </si>
  <si>
    <t xml:space="preserve"> Criterios revisados  de los procedimientos PQRSF y Reliquidaciones </t>
  </si>
  <si>
    <t xml:space="preserve">VICERRECTORIA DE CULTURA Y BIENESTAR - DIVISION DE GESTION DE SALUD INTEGRAL y DESARROLLO HUMANO  y SECRETARIA GENERAL </t>
  </si>
  <si>
    <t>Criterios establecidos</t>
  </si>
  <si>
    <t>Oficio No.7.4-92.8/92 del 06 de marzo de 2023, solicitud de reunión con Secreatria General.
Acta de reunion No.01 del 22 de marzo de 2023, asunto: socialización del trámite de PQRSF institucional</t>
  </si>
  <si>
    <t>Efectividad del 58%,
Se revisaron los procedimientos correspondientes al sistema PQRSF y se determinó criterios para su articulación en el procedimiento de reliquidación de matrícula.
Gestión 50%, no se han documentado los criterios del sistema de PQRSF a incluir en el procedimiento de reliquidación de matrículas
Impacto 25%, procedimiento sin documentar.</t>
  </si>
  <si>
    <t xml:space="preserve">Incluir dentro de los lineamientos del procedimiento de reliquidación de matrícula, los criterios de articulación con el sistema de PQRSF. </t>
  </si>
  <si>
    <t>Procediimiento de reliquidación con los lineamientos del Sistema PQRSF.</t>
  </si>
  <si>
    <t>Procedimiento de reliquidación con líneamientos de Sistema PQRSF</t>
  </si>
  <si>
    <t>Procedimiento reliquidación de matrícula 14/04/2023</t>
  </si>
  <si>
    <t>En el desarrollo del procedimiento no se han gestionado los posibles escenarios de riesgos de gestión y corrupción</t>
  </si>
  <si>
    <t>Falta de identificación de los posibles riesgos que impactan la operación de las Reliquidaciones de Matrícula.</t>
  </si>
  <si>
    <t>Gestionar e incluir en el mapa de riesgos Institucional los posibles riesgos en la reliquidación de matrícula financiera.</t>
  </si>
  <si>
    <t>Incluir en el mapa de riesgos Institucional  los posibles riesgos relacionados con la reliquidación de matrícula.</t>
  </si>
  <si>
    <t xml:space="preserve">Mapa de riesgo actualizado </t>
  </si>
  <si>
    <t>VICERRECTORIA DE CULTURA Y BIENESTAR - DIVISION DE GESTION DE SALUD INTEGRAL y DESARROLLO HUMANO  , PLANEACION</t>
  </si>
  <si>
    <t>Matriz de riesgo del proceso</t>
  </si>
  <si>
    <t>El informe de seguimiento al Plan Anticorrupción y Atención al Ciudadano evaluó el riesgo, identificando aspectos de mejora.</t>
  </si>
  <si>
    <t>La impresión del archivo de gestión que soporta la ejecución del procedimiento es parcial, y presenta debilidades en el cumplimiento de las normas de archivo.</t>
  </si>
  <si>
    <t xml:space="preserve">Falta de adherencia a los procedimientos de archivo </t>
  </si>
  <si>
    <t xml:space="preserve"> Organizar el archivo de gestión del procedimiento de reliquidación con base en las normas internas y extrenas de gestión documental.</t>
  </si>
  <si>
    <t>Clasificar los tipos documentales resultantes de la operación del procedimiento de reliquidación de matriculas según la Tabla de Retención Documental.</t>
  </si>
  <si>
    <t xml:space="preserve">Porcentaje de tipos documentales clasificados </t>
  </si>
  <si>
    <t>DIVISION DE GESTION DE SALUD INTEGRAL y DESARROLLO HUMANO</t>
  </si>
  <si>
    <t>Tipos documentales clasificados</t>
  </si>
  <si>
    <t xml:space="preserve">Pendiente la revisión del archivo de gestión </t>
  </si>
  <si>
    <t>Organizar el archivo de gestión  con base en las normas internas y extrenas de gestión documental.</t>
  </si>
  <si>
    <t>Porcentaje del Archivo de gestión organizado</t>
  </si>
  <si>
    <t>Archivo de gestión Organizado</t>
  </si>
  <si>
    <t>DIVISIÓN DE ADMISIONES, REGISTRO Y CONTROL ACADÉMICO - DARCA</t>
  </si>
  <si>
    <t>27/10/2022</t>
  </si>
  <si>
    <t>INFORME 2.6-52.18/06 DE 2022. DE EVALUACIÓN AL PROCEDIMIENTO DE
REGISTRO DE NOTAS ACADÉMICAS EN LA UNIVERSIDAD DEL CAUCA</t>
  </si>
  <si>
    <t>26/10/2023</t>
  </si>
  <si>
    <t xml:space="preserve">No se presentó evidencias para el seguimiento del segundo semestre del 2024, por lo que el plan se encuentra en incumplimiento del tiempo de ejecución programado. </t>
  </si>
  <si>
    <t>Falta de documentación de procedimientos que guíen la operación en todas las fases del ciclo PHVA del registro de notas académicas de los estudiantes de pregrado.</t>
  </si>
  <si>
    <t>No se han documentado las actividades, responsables y controles del procedimiento</t>
  </si>
  <si>
    <t>Documentar el procedimiento que guie la operacion para el registro de calificaciones, estableciendo controles y responsables.</t>
  </si>
  <si>
    <t xml:space="preserve">Realizar reuniones con los decanos de Facultad para consolidar y estandarizar las actividades del procedimiento  </t>
  </si>
  <si>
    <t>Reuniones con decanos realizadas</t>
  </si>
  <si>
    <t>Profesional Especializado de la División de Admisiones, Registro y Control Académico DARCA.</t>
  </si>
  <si>
    <t>Actas de reunión firmadas y oficios de solicitud de reunión</t>
  </si>
  <si>
    <t>Oficios 4.2-52.5/0998, 1004, 1000, 1001, 1002, 1003, 1005, 1006, del 15/11/2022. La Profesional Especializada solicita un espacio ante los consejos de las diferentes facultades de la Universidad en las que se tratará el tema relacionado con la estandarización de las actividades del registro de notas de los diferentes programas académicos.
Acta N° 0033 del 18/11/2022, facultad de ciencias contables economicas y administrativas y registro de asistencia del 18/03/2022
Acta N° 0035 del 28/11/2022, facultad de ciencias de la salud y registro de asistencia del 28/11/2022
Registro de asistencia del 29/11/2022, sin registro de la dependencia que organiza, el tema a tratar, lugar de realización.
Registro de asistencia del 6/12/2022, Facultad de ingenieria electrónica y telecomunicaciones, 
Oficio 4.2-52.5/237 del 16/03/2023, reiteración mesa de trabajo registro de calificaciones
Acta N° 01 del 08/03/2023, falcultad de derecho
Acta N° 4.2-1.56/021 del 26/06/2023, Facultad de ciencias agracias y registro de asistencia.
DARCA manifestó que por situaciones logisticas no se logró la reunion con la facultad de ciencias humanas , la facultad de artes ni de ingeneria civil.
Con oficio 4.2 – 55.6/700 del 22/07/2024 la División de Admisiones Registro y Control Académico - DARCA, presentó:
Acta de reunión 4.2-3.58/003 del 18/07/2024 - asunto: Mesa de Trabajo para revisión del plan de mejora por la OCI y los avances del procedimiento de Control del Registro de Calificaciones para estudiantes de Pregrado y Posgrados de la Universidad del Cauca</t>
  </si>
  <si>
    <t xml:space="preserve">Algunas actas sin identificar la Serie y subserie según las Tablas de Retención Documental 
Se encuentran pendientes la documentación de algunas actas con las sesiones de trabajo realizadas.
Las actas deben incluir las conclusiones y evidenciar el cumplimiento del objetivo de la reunión
El acta presentada en la vigencia 2024, refiere de manera general las actividades desarrolladas para la construcción del procedimiento de registro de calificaciones, y los participantes de las facultades (6 de 9 facultades).
El acta 4.2-3.58/003 evidenciada no se encuentra suscrita por los participantes de la DARCA, </t>
  </si>
  <si>
    <t>No existe un procedimiento documentado para el registro de calificaciones</t>
  </si>
  <si>
    <t>Documentar el paso a paso del procedimiento, con los respectivos responsables y controles</t>
  </si>
  <si>
    <t>Procedimiento documentado</t>
  </si>
  <si>
    <t>Vicerrectoría Académica, Profesional Especializado de la División de Admisiones, Registro y Control Académico DARCA, División Tic´s</t>
  </si>
  <si>
    <t>Procedimiento publicado en Lvmen</t>
  </si>
  <si>
    <t>Resolución 8.8-90.2/087 del 03/03/2023, autoriza práctica profesional y asesor académico  FACEA 
Acuerdo de confidencialidad en uso de la información
Oficios 4.2-52.5/252 y 253 desiganción de asesor empresarial
Informes 1 y 2 de la practica entregados por la pasantes 
Propuesta de Creación de Procedimiento División de Admisiones, Registro y Control Académico - DARCA, de Control del Registro de Calificaciones para estudiantes de Pregrado de la Universidad del Cauca
Con oficio 4.2 – 55.6/700 del 22/07/2024 la División de Admisiones Registro y Control Académico - DARCA, presentó:
Propuesta Procedimiento de Control del Registro de Calificaciones para estudiantes de Pregrado y Posgrados de la Universidad del Cauca</t>
  </si>
  <si>
    <t>Se presenta un documento que servira de insumo para la documentación del procedimiento que contenga la descripción del responsable, objetivo, alcance, marco normativo y actividades para las fases del Ciclo PHVA que minimicen los riesgos su operación, aclarando las responsabilidades de la DARCA, las unidades académicas y los docentes.
I semestre 2024: 
La propuesta de procedimiento, se estructuró en el formato definido por el Centro de Gestión de la Calidad y Acreditación Institucional; en visita de la OCI del 16/07/2024 en la DARCA, se dieron recomendaciones para la documentación del procedimiento, en cuanto a:
Ajustar de los puntos de control por cuanto se define como "Sistema de Información Académica" sin detallar el resultado de la acción de control y/o la evidencia especifica a presentar.
Definir las actividades de verifiación que adelantará la DARCA al registro de notas de los profesores.</t>
  </si>
  <si>
    <t>Socializar a todos los actores el nuevo procedimiento y los controles a ser implementados</t>
  </si>
  <si>
    <t>Procedimiento socializado</t>
  </si>
  <si>
    <t xml:space="preserve">Vicerrectoría Académica, Profesional Especializado de la División de Admisiones, Registro y Control Académico DARCA, División Tic´s
       </t>
  </si>
  <si>
    <t>Registros de socialización</t>
  </si>
  <si>
    <t xml:space="preserve">Sin avance, la socialización del procedimiento depende de la aprobación y formalización </t>
  </si>
  <si>
    <t>Crear y actualizar varias herramientas de apoyo a la creación del procedimiento de registro de calificaciones.</t>
  </si>
  <si>
    <t>Herramientas creadas y actualizadas</t>
  </si>
  <si>
    <t xml:space="preserve">Profesional Especializado de la División de Admisiones, Registro y Control Académico DARCA.
       </t>
  </si>
  <si>
    <t>Herramientas de apoyo</t>
  </si>
  <si>
    <t>Con oficio 4.2 – 55.6/700 del 22/07/2024 la División de Admisiones Registro y Control Académico - DARCA, presentó:
Manual de Procedimiento de control del registro de califiaciones para estudiantes de pregrado y posgrado de la Universidad del Cauca</t>
  </si>
  <si>
    <t>El manual presentado, contiene: Justificación, objetivo alcance, normatividad y procedimiento; en la normatividad se encontró la descripción textual de lo contenido en el Acuerdo 002 de 1988 Capítulo VI del Reglamento Estudiantil: De la Evaluación y las Calificaciones, Acuerdo 024 de 1993: Capítulo VIII del Estatuto Profesor: De la Labor del Profesor, Art. 55: Evaluación Estudiantil y Acuerdo 036 de 2011: Capítulo X del Estatuto Académico de la Universidad del Cauca: El Sistema de Información Académica, Artículo 49.
Para lo descrito en el procedimiento se desarrolla el paso a paso para el registro de calificaciones con las respectivas ilustraciones.
Por lo anterior, se asigna a avance de 50%, pendiente la formalización y publicación del Manual y el ajuste de la normatividad.</t>
  </si>
  <si>
    <t>Se mantienen las inconformidades a través de las PQR por las partes interesadas y/o grupos de valor sobre registros y corrección de notas académicas, principalmente en la Facultad de Derecho, Ciencias Políticas y Sociales y DARCA.</t>
  </si>
  <si>
    <t>Establecer una estrategia para el control del registro oportuno de calificaciones de los programas con alto índice de PQR</t>
  </si>
  <si>
    <t>Documentar las estrategias con sus respectivos responsables</t>
  </si>
  <si>
    <t>Estrategias documentadas</t>
  </si>
  <si>
    <t xml:space="preserve">Profesional Especializado de la División de Admisiones, Registro y Control Académico DARCA y equipo de trabajo
       </t>
  </si>
  <si>
    <t>Actas de reunión firmadas</t>
  </si>
  <si>
    <t>Resolución Rectoral 1169 de 29 de noviembre de 2022, que indica la  “… Por la cual se modifica parcialmente la Resolución R-695 de 30 de julio de 2019, modificada por la resolución 0028 de 17 de enero de 2022 – CONFIRMACIÓN DEL EQUIPO – Constituir un equipo de seguimiento y apoyo a la mejora de los procedimientos académico-administrativos de registro de calificaciones definitivas aprobatorias de las diferentes asignaturas que componen los planes de estudio de los programas ofertados por la Universidad del Cauca
1-pantallazos de Correos electronicos  enviados a  las facultades  con la finalidad de dar a conocer los docentes que no han realizado registro de notas.
2- Oficio 4.2-22.1/006 del 2022 a funcionarios DARCA, con instrucciones como medida correctiva para el procedimiento de registro de notas
Con oficio 4.2 – 55.6/700 del 22/07/2024 la División de Admisiones Registro y Control Académico - DARCA, no presentó soportes de la estrategía definida.</t>
  </si>
  <si>
    <t>Identificar e implementar un indicador para medir la efectividad de los controles resultado de la estrategia implementada</t>
  </si>
  <si>
    <t xml:space="preserve">Indicadores de efectividad identificados e implementados                        </t>
  </si>
  <si>
    <t>Documento Control del Registro de Calificaciones para estudiantes de Pregrado de la Universidad del Cauca
Con oficio 4.2 – 55.6/700 del 22/07/2024 la División de Admisiones Registro y Control Académico - DARCA, presentó:
Atención PQR 2023 - contiene resultados de población atendida PQRS, Concluye 224 atenciones.
Muestra de creaciones - capturas de pantalla: (2) Informe de exoneraciones de preparatorios, Grupos clase no creados, Reporte 1 creación de grupo clase grado úb septiembre, Reporte 2 creación de grupos grados sept.
OPS apoyo derecho - captura clausula primera: Objeto, Clausula segunda: especificaciones y obligaciones del contratista</t>
  </si>
  <si>
    <t>El documento evidenciado identifica durante los periodos académicos 2022-1,2022-2 y 2023-1 un gráfico estadístico comparativo con la tendencia que tiene el no registro de notas dentro de los tiempos establecidos.
Sin análisis del resultado de la aplicación de los controles, ademas el gráfico presenta una tendencia ascendente en el incumplimiento de registro de notas, por lo que la apliación  de los contrles no son efectivos.
Deben establecer lineamientos frente a los incumplimientos de los tiempos y cronogramas definidos
La evidencia presentada para el I semestre 2024, no presenta elementos para asignar avance acorde al indicador definido para la actividad.
En asesoría del 16/07/2024 la OCI indicó la posibilidad de reformulación de la actividad, sin embargo, no se presentó propuesta de reformulación.</t>
  </si>
  <si>
    <t>Sin evidencias de la ejecución y seguimiento a los controles identificados para gestionar el riesgo de corrupción.</t>
  </si>
  <si>
    <t>No se han identificado los riesgos de gestión y corrupción, para poder establecer los controles pertinentes</t>
  </si>
  <si>
    <t>Administrar los riesgos de gestión y corrupción del procedimiento de registro de notas y las acciones para mitigar su materialización</t>
  </si>
  <si>
    <t>Identificar, valorar, realizar tratamiento de los riesgos de gestión y corrupción inherentes al procedimiento de registro de notas.</t>
  </si>
  <si>
    <t>Riesgos identificados, valorados y tratados</t>
  </si>
  <si>
    <t xml:space="preserve">Profesional Especializado de la División de Admisiones, Registro y Control Académico DARCA y Equipo de trabajo
       </t>
  </si>
  <si>
    <t xml:space="preserve">                                     1. Matriz de riesgos monitoreada                                                                                        2. Acta de reunión firmada por los involucrados</t>
  </si>
  <si>
    <t>Se identificó el riesgo "Vulneración al sistema integrado de matrícula académica SIMCA en los registros académicos" en el mapa de riesgos institucional.</t>
  </si>
  <si>
    <t>El riesgo identificado se encuentra en nivel de riesgo residual "Alto", a reducir con la definición de 3 controles:
Reportes de seguimientos a los registros realizados por los técnicos en la plataforma SIMCA
Implementar alertas para cambios periódicos de contraseñas de la plataforma SIMCA
Implementar alertas para los registros realizados por los técnicos de DARCA
Sin evidencia del acta de reunión.</t>
  </si>
  <si>
    <t>Efectividad del 92%,
Se identificó un riesgo de gestión en el tiempo programado.
Gestión 100%, el riesgo identificado detalla controles para reducir su impacto "Alto" frente a la vulneración del sistema.
Impacto 75%, solo se ha realizado el monitoreo a un control y no se evidenció el acta de identificación del riesgo.</t>
  </si>
  <si>
    <t xml:space="preserve">Monitorear los riesgos con los controles implementados                                                      </t>
  </si>
  <si>
    <t>Riesgos monitoreados</t>
  </si>
  <si>
    <t>Profesional Especializado de la División de Admisiones, Registro y Control Académico DARCA</t>
  </si>
  <si>
    <t>Con oficio 4.2 – 55.6/700 del 22/07/2024 la División de Admisiones Registro y Control Académico - DARCA, no presentó evidencias.</t>
  </si>
  <si>
    <t xml:space="preserve">El infome presentado por la OCI 2.6-27.13/11 de 2024, concluyó:
- Solo se asignó avance para 1 de 3 controles, correspondiente a 17% para el control de reportes de alertas para cambios periodicos de contraseñas...
Sin evidencia de los monitoreos realizados por la DARCA </t>
  </si>
  <si>
    <t>Vicerrectoría de Investigaciones</t>
  </si>
  <si>
    <t>INFORME 2.6-52.18/14 DE 2023, DE EVALUACIÓN A LA GESTIÓN ADMINISTRATIVA
Y FINANCIERA DE PROYECTOS DE INVESTIGACIÓN INTERNOS.</t>
  </si>
  <si>
    <t xml:space="preserve">Se amplía la fecha de finalización hasta el 30/06/2025, justificado en que la Vicerrectoría no cuenta con personal para la consolidación de las evidencias y la remisión de este tipo de información. </t>
  </si>
  <si>
    <t>Sin evidencia de controles o con controles inefectivos a la verificación de los soportes de los proyectos registrados en los sistemas de información de la Vicerrectoría de Investigaciones y la congruencia de la información.</t>
  </si>
  <si>
    <t>El Sistema de información de la Vicerrectoría de Investigaciones - SIVRI, presenta debilidades por cuanto no permite que algunos profesores carguen la información que soporta los proyectos de investigación internos en el Sistema.</t>
  </si>
  <si>
    <t>Contratar Soporte SIVRI</t>
  </si>
  <si>
    <t>Realizar estímulo económico al Profesor Daniel Paz</t>
  </si>
  <si>
    <t xml:space="preserve">Estímulos económicos realizados </t>
  </si>
  <si>
    <t>Vicerrector de Investigaciones</t>
  </si>
  <si>
    <t>Estímulo económico</t>
  </si>
  <si>
    <t>Con oficio 6.1-55.6/515 del 20 de junio de 2024, la VRI presentó:
1. CDP 202400116 del 13/03/2024, por valor de $6.030.400, concepto estímulo económico para mantener el  SIVRI para realizar acciones de mantenimiento correctivo urgentes... Trabajar en la construcción  de un nuevo sistema de gestión de la información de la VRI. Inicia el 18 de marzo de 2024, termina el 10 de mayo de 2024.
2. Informe de las actividades asociadas al mantenimiento del actual sistema SIVRI y el desarrollo del nuevo sistema de la VRI del profesor Daniel Eduardo Paz Perafán</t>
  </si>
  <si>
    <t xml:space="preserve">I semestre 2024:
Se evidenció el CDP para un Estímulo Económico a ejecutar entre marzo y mayo del 2024; además, un informe con  las actividades desarrolladas por el profesor para la corrección del SIVRI, y el desarrollo de la nueva aplicación web SIVRI, por lo que se asigna un avance del 30%. 
De otra parte, la VRI manifestó que la actividad está proyectada hasta diciembre del 2024, donde se prevé el lanzamiento de los ajustes.
</t>
  </si>
  <si>
    <t>Debilidad en el control al estado de los proyectos y la revisión de compromisos:
- Algunos proyectos con fecha de inicio en las vigencias 2016, 2017 y 2018 se encuentran en ejecución.
-Los directores de los proyectos 4584 y 4585 no han presentado la totalidad de compromisos (informe final), por lo que continúan en estado “ejecución”, (06/07/2023).</t>
  </si>
  <si>
    <t>El SIVRI no actualiza automaticamente el estado de los proyectos, de acuerdo con los tiempos programados en los proyectos</t>
  </si>
  <si>
    <t>Definir procedimiento para cierre de proyectos en SIVRI</t>
  </si>
  <si>
    <t>Documentar procedimiento manual para cierre de proyectos</t>
  </si>
  <si>
    <t>Procedimientos de cierre de proyectos realizados</t>
  </si>
  <si>
    <t>Profesional especializado Vicerretoría de Investigaciones</t>
  </si>
  <si>
    <t>Procedimiento docuementado</t>
  </si>
  <si>
    <t>Con oficio 6.1-55.6/515 del 20 de junio de 2024, la VRI presentó:
1. Correo creación de procedimiento interno VRI 
2. Propuesta de procedimiento interno revisión de estado de los proyectos en el Sistema de información 
3. Propuesta procedimiento revisión de estado de los proyectos  mapeado en Bizagi.</t>
  </si>
  <si>
    <t>Se ha avanzado en la propuesta de procedimiento para la revisión del estado de los proyectos en el SIVRI, pero se prevé actualización del Sistema de Información para el II semestre 2024, por lo que no es viable realizar ajustes al Sistema Actual.
La propuesta de procedimiento presentada debe fortalecerse en cuanto a:
El responsable, teninendo en cuenta que el Gestor de Calidad no esta creado dentro de la Planta Global de Personal Administrativo de la Universidad del Cauca
El alcance no especifica adecuadamente el inicio y fin del procedimiento acorde a las actividades descritas.
Los puntos de control se definen de manera general (Archivo Excel, Sistema de información, SIVRI) que adolecen de criterios para aplicación adecuada del control.
Por lo anterior, se asigna avance de 60%, pendiente los ajustes acorde a los comentarios de la OCI, y la formalización ante el Centro de Gestión de la Calidad y Acreditación Institucional.</t>
  </si>
  <si>
    <t>Notificar según el tipo de proyectos la actualización a quien corresponda</t>
  </si>
  <si>
    <t>Notificaciones realizadas</t>
  </si>
  <si>
    <t>Correos electrònicos</t>
  </si>
  <si>
    <t>Con oficio 6.1-55.6/515 del 20 de junio de 2024, la VRI presentó la notificaciones realizadas:
1. Correo electrónico del 23/02/2024 en el que se notifica 3 Proyectos en ejecución con fecha de finalización cercanas
2. Correo electrónico del 23/02/2024 en el que se notifica 1 Proyecto en ejecución con fecha de finalización 18 de noviembre de 2023.
3. Correo electrónico del 27/02/2024 de respuesta de los ajustes a los proyectos realizadas</t>
  </si>
  <si>
    <t>I semestre 2024:
Se evidenciaron algunas notificaciones realizadas por la VRI a proyectos en ejecución con fecha de finalización cercana, para que se realicen los ajustes correspondientes.
Se otorga avance del 50%, el porcentaje restante se asignará con la vertificación de las notificaciones realizadas en el segundo semestre del 2024.</t>
  </si>
  <si>
    <t>Debilidades en el control al cierre de los proyectos:
- Proyectos con estado terminado sin aprobación de todos sus compromisos, algunos compromisos referenciados en el acta de inicio, oficialización de inicio e informe técnico final, no evidencian su soporte en el SIVRI, ejemplo proyectos N° 5255 - 5667.
-La verificación al cumplimiento de los compromisos no abarca la calidad de la información de los soportes, informes técnicos parciales sin utilizar el formato aprobado, Proyecto N° 4983.
-Algunos proyectos no evidencian la notificación de cierre del proyecto posterior a la aprobación de compromisos.</t>
  </si>
  <si>
    <t>No se encuentra documentado el alcance de la Vicerrectoría en la evaluación de los compromisos</t>
  </si>
  <si>
    <t xml:space="preserve">
Definir los criterios para el cierre de proyectos de investigación y la revisión de compromisos</t>
  </si>
  <si>
    <t>Documentar el alcance de la VRI en la evaluación de compromisos</t>
  </si>
  <si>
    <t>Alcance de la VRI documentado</t>
  </si>
  <si>
    <t xml:space="preserve">
Criterios documentados para el cierre y entrega de compromisos</t>
  </si>
  <si>
    <t>Con oficio 6.1-55.6/515 del 20 de junio de 2024, la VRI presentó:
1. Propuesta de Procedimiento seguimiento a compromisos registrados en SIVRI
2. propuesta de procedimiento revisión de estado de los proyectos SIVRI en Bizagi.</t>
  </si>
  <si>
    <t xml:space="preserve">I semestre 2024:
La propuesta de procedimiento presenta algunas debilidades en cuanto a: 
a). Se describen varios responsables
b). El alcance no especifica adecuadamente el inicio y fin del procedimiento acorde a las actividades descritas, responder ¿Qué actividad inicia para la revisión de compromisos de proyectos y revisión de criterios para su cierre?
c). Los puntos de control se definen de manera general (SIVRI, Informe, SIMCA), sin detallar el resultado de la acción de control y/o la evidencia especifica a presentar.
Se ha avanzado en la defición de criterios en lo referente a los compromisos de los proyectos internos, sin embargo, se encuentra pendiente definir el alcance de la VRI y la asiganción formal de responsabilidades de los demás actores para el seguimiento a compromisos de proyectos en SIVRI. 
Se asigna un avance del 30%, el 70% restante se encuentra supeditado al ajuste de la propuesta acorde a las observaciones de la OCI, y su formalización en el programa LVMEN. </t>
  </si>
  <si>
    <t>Solicitar a jefes de Departamento sobre la conformidad de los compromisos</t>
  </si>
  <si>
    <t>Evaluación de la conformidad de compromisos realizada</t>
  </si>
  <si>
    <t>Documento con avales de jefes de Departamento</t>
  </si>
  <si>
    <t>Con oficio 6.1-55.6/515 del 20 de junio de 2024, la VRI presentó:
Propuesta de Procedimiento seguimiento a compromisos registrados en SIVRI</t>
  </si>
  <si>
    <t>I semestre 2024:
Sin avance al alcance de la actividad que considera como punto de control la revisión realizada por los jefes de Departamento a los compromisos de los proyectos</t>
  </si>
  <si>
    <t xml:space="preserve"> Dar accesos a sistema de información a Jefes de departamento</t>
  </si>
  <si>
    <t>Accesos consedidos</t>
  </si>
  <si>
    <t>Soporte de accesos concedidos y realizados</t>
  </si>
  <si>
    <t xml:space="preserve"> Con oficio 6.1-55.6/515 del 20 de junio de 2024, la VRI reportó la matriz de seguimiento de planes de mejoramiento diligenciada, en la que reportó información relativa a la actividad</t>
  </si>
  <si>
    <t xml:space="preserve">
I semestre 2024:
En la observación referida en la matriz de reporte de información, la VRI informó que esta actividad se realizará luego de actualizar el SIVRI y se debe verificar que los jefes de departamento tengan el rol y capacidades requeridas, por lo que no tiene avance. </t>
  </si>
  <si>
    <t>Envio Semestral de reporte de compromisos</t>
  </si>
  <si>
    <t>Reporte de compromisos enviado</t>
  </si>
  <si>
    <t>Correos electrónicos, oficios, y reportes de compromisos</t>
  </si>
  <si>
    <t>Con oficio 6.1-55.6/515 del 20 de junio de 2024, la VRI reportó la matriz de seguimiento de planes de mejoramiento diligenciada, en la que reportó información relativa a la actividad</t>
  </si>
  <si>
    <t xml:space="preserve">I semestre 2024:
En la observación referida en la matriz de reporte de información, la VRI informó que esta actividad se realizará en el segundo semestre del 2024, por lo que a la fecha no tiene avance. </t>
  </si>
  <si>
    <t>Inadecuado control a las suspensiones y prórrogas en la ejecución de los proyectos internos.
- No están documentados los criterios para la suspensión y plazos.
- Algunos proyectos no registran todos los soportes de suspensiones y prorrogas.
- Algunos proyectos presentan más de una prórroga, contrariando lo definido en el AA 021 de 2019.
- Sin evidencia del responsable de aprobar las prórrogas.</t>
  </si>
  <si>
    <t>No existe un control al número de prorrogas asociadas al proyecto</t>
  </si>
  <si>
    <t>Actualizar el sistema de información para que incluya el seguimiento a prorrogas</t>
  </si>
  <si>
    <t>Actualizar seguimiento a prorrogas en sistema de información de acuerdo al 015 de 2015</t>
  </si>
  <si>
    <t>Sistema Ajustado para seguimiento a prorrogas</t>
  </si>
  <si>
    <t>Sistema ajustado</t>
  </si>
  <si>
    <t xml:space="preserve">I semestre 2024:
En la observación referida en la matriz de reporte de información, la VRI manifestó: "Esta actividad aplica para el nuevo sistema y se tuvo en cuenta en la construcción del nuevo SIVRI. Se debe verificar nuevo SIVRI que emita ALERTAS del Estado de Proyecto y las prórrogas otorgadas."
Por lo anterior, no se asigna avance. </t>
  </si>
  <si>
    <t>En presentación de las propuestas de proyectos, no se logró determinar la documentación de los requisitos mínimos a presentar por los directores de proyectos, para la revisión por el Departamento y Comité de Investigaciones de cada Facultad, previo registro de la ficha resumen en SIVRI: Ejemplo: Objetivo, alcance, justificación, entre otros</t>
  </si>
  <si>
    <t>No se ha documentado los requisitos mínimos que deben presentar los directores de proyectos ante los Departamentos y facultades</t>
  </si>
  <si>
    <t>Documentar, Ajustar y actualizar los criterios y formatos para la presentación de propuestas de proyectos</t>
  </si>
  <si>
    <t>Actualizar los criterios y Formatos para la presentación de propuestas</t>
  </si>
  <si>
    <t>Criterios y formatos actualizados</t>
  </si>
  <si>
    <t>Profesional especialziado de la Vicerrectoría de Investigaciones</t>
  </si>
  <si>
    <t>Formatos actualizados</t>
  </si>
  <si>
    <t xml:space="preserve">Con oficio 6.1-55.6/515 del 20 de junio de 2024 la VRI presentó:
1. Formato PM-IV-6.1-FOR-33 en versión 3 del 03/04/2024
2 . Formato PM-IV-6.1-FOR-1 en versión 3 del 02/04/2024
</t>
  </si>
  <si>
    <t>I semestre 2024:
Revisado el programa Lvmen:
El formato PM-IV-6.1-FOR-33 Formato para Aval Comités de Facultad, se encuentra en Versión 2 del 03-05-2023
El formato PM-IV-6.1-FOR-1 Pre-evaluación de Proyectos de Investigación a Diligenciar por los Departamentos, se encuentra en versión 2 del 04/05/2023
Lo anterior evidencia que no se ha trámitado la actualización de los formatos en el Programa Lvmen.
Además, no se evidencia la actualización de los criterios para la presentación de propuestas de proyectos, como lo indica la acción y la actividad de mejora.
Se asigna avance de 40% correspondiente a los ajustes de los formatos, el 10% restante se sujeta a la formalización en el programa LVMEN. 
El 50% restante corresponde a la actualización de los criterios para la presentación de propuestas de proyectos.</t>
  </si>
  <si>
    <t>Socializar los citerios y formatos con los investigadores</t>
  </si>
  <si>
    <t>Criterios y formatos socializados</t>
  </si>
  <si>
    <t>Profesional especializado de la Vicerrectoría de Investigaciones</t>
  </si>
  <si>
    <t>Formatos actualizados y socializados</t>
  </si>
  <si>
    <t>Con oficio 6.1-55.6/515 del 20 de junio de 2024 la VRI presentó:
1. Correo electronico de 02/04/2024 de Actualización documentos de aval de Departamento y aval de facultad, que propone  Actualizar el Aval de Departamento y Facultad e incluir la nota que contenga los documentos que se deben anexar para dicho aval.
2. Correo electronico del 1/04/2024 con Modelo Acta de inicio proyectos para proyectos internos</t>
  </si>
  <si>
    <t>I semestre 2024:
Se evidencian avances para la socialización de los formatos al interior del  proceso, pendiente la socialización de los formatos definitivos para su implementación, por lo que se asigna un avance del 10%.
El 90% de avance restante se sujeta a la verificación de la socialización de los criterios y formatos, actualizados y formalizados.</t>
  </si>
  <si>
    <t>La lista de chequeo PM-IV-6.1-FOR-40 Requisitos para Registro de Proyectos de Trabajo de Grado en SIVRI, no establece los criterios para la definición de compromisos asociados a este tipo de proyectos N° 5370, 5140</t>
  </si>
  <si>
    <t>No se encuentran documentados los requisitos mínimos de entrega en proyectos de trabajo de grado</t>
  </si>
  <si>
    <t>Documentar los requisitos mínimos a entregar al finalizar un trabajo de grado registrado en el sistema de información de la VRI</t>
  </si>
  <si>
    <t>Documentar los requisitos para trabajo de grado</t>
  </si>
  <si>
    <t>Requisitos documentados</t>
  </si>
  <si>
    <t>Documento con requisitos</t>
  </si>
  <si>
    <t>I semestre 2024:
En la observación referida en la matriz de reporte de información, la VRI informó que se deben incluir requisitos de trabajos de grado en la lista de chequeo FOR-40 y verificar que el nuevo SIVRI maneje una Lista de Chequeo de estos requisitos, sin avances para el I semestre del 2024.</t>
  </si>
  <si>
    <t>Socializar los requisitos con investigadores</t>
  </si>
  <si>
    <t>Requisitos socializados</t>
  </si>
  <si>
    <t>Documento con requisitos socializados</t>
  </si>
  <si>
    <t xml:space="preserve">I semestre 2024:
En la observación referida en la matriz de reporte de información, la VRI informó "Esta actividad se realizará posterior al lanzamiento SIVRI. Es recomendable solicitar al ingeniero un manual de usuario o instructivos o videos para dar a conocer el nuevo SIVRI a investigadores, podría establecerse una estrategia con comunicaciones para su divulgación efectiva"
A la fecha no se evidencia avance. </t>
  </si>
  <si>
    <t>Sin evidenciar los lineamientos y criterios para la asignación de los recursos del presupuesto según la clasificación del proyecto definidos en el AS N° 015 del 2015, tampoco se especifican los criterios para la asignación de los recursos en especie y efectivo, para los rubros descritos en el formato PM-IV-6.1-FOR-16.</t>
  </si>
  <si>
    <t>Los recursos son definidos según el presupuesto con el que se cuenta la vicerrectoria o entidad financiadora, pero no se encuentra documentado en el procedimiento</t>
  </si>
  <si>
    <t>Definir lineamientos para la asignación presupuestal de los proyectos de investigación y el tipo de recurso (Especie o efectivo)</t>
  </si>
  <si>
    <t>Documetar los lineamientos para la asignación presupuestal de los proyectos de investigación y el tipo de recurso (Especie o efectivo)</t>
  </si>
  <si>
    <t>Lineamientos documentados</t>
  </si>
  <si>
    <t>Procedimiento
Documento</t>
  </si>
  <si>
    <t xml:space="preserve">I semestre 2024:
En la observación referida en la matriz de reporte de información, la VRI informó que "Se trabajará en el segundo semestre con funcionarios contables de la VRI integrando lineamientos para asignación presupuestal de recurso ESPECIE/EFECTIVO", situación por la que no se asigna avance.
</t>
  </si>
  <si>
    <t>De los requisitos para el registro de proyectos de desarrollo interno:
• La lista de chequeo PM-IV-6.1-FOR-40 V: 1 del 05/08/2019, refiere formatos sin normalizar en el Sistema de Gestión de la Calidad- Programa LVMEN (PM-IV-6.1-IN-11).
• La matriz PM-IV-6.1-FOR-16 de Presupuesto Global, en la Hoja “A. Presupuesto Global” contiene nota que menciona “los valores totales deben coincidir con los especificados en la ficha resumen del proyecto (PM-IV-6.1-FOR-6)”, que no se encuentra normalizada en el Sistema de Gestión de la Calidad-Programa Lvmen.</t>
  </si>
  <si>
    <t xml:space="preserve">
Los procedimientos y formatos que orientan la operación y gestión de los proyectos de investigación se encuentran desactualizados.</t>
  </si>
  <si>
    <t xml:space="preserve">
Ajustar e implementar los procedimientos y formatos que orientan la gestión de los proyectos internos de la VRI</t>
  </si>
  <si>
    <t xml:space="preserve">
Actualizar los procedemientos y formatos que orientan la gestión de proyectos internos en los refente a registro, formulación, revisión ejecución y cierre.</t>
  </si>
  <si>
    <t>Procedimientos y formatos actualizados</t>
  </si>
  <si>
    <t>Con oficio 6.1-55.6/515 del 20 de junio de 2024, la VRI presentó: 
1. Propuesta de Modelo - Acta de Inicio y Compromiso - Proyectos internos
2. Propuesta de procedimiento Formulación y Ejecución de Proyectos de Semilleros de Investigación, PM-IV-6.1- PR -12, versión 2 del 3/04/2024
3. Formato PM-IV-6.1-FOR-56 Lista de Chequeo de Proyectos de semilleros versión 2 del 02/04/2024</t>
  </si>
  <si>
    <t xml:space="preserve">
I semestre 2024:
En las evidencias presentadas se menciona que "Se divulga internamente el formato del acta de inicio para retroalimentación. En espera de retroalimentación al acta de inicio para la aprobación final" 
En la propuesta del procedimiento de Formulación y Ejecución de Proyectos de Semilleros de Investigación, se evidencian ajustes parciales respecto de las actividades del "PLANEAR", sin embargo, el "PLANEAR" contempla actividades del "HACER",  los puntos de control se definen de manera general (SIVRI, Ventana descargar, En SIVRI aparece "Info actualización realizada”), sin detallar el resultado de la acción de control y/o la evidencia especifica a presentar.
Respecto de la propuesta de formato de lista de chequeo de Proyectos de semilleros, no se logra determinar los ajustes realizados.
De otra parte, la VRI comentó que: En mayo, la DAE solicita al Vicerrector, mediante oficio 6.3-55.6/90 se incluya Acta de Inicio, evidencia que no se puedo revisar por cuanto no se adjuntó.
Por lo anterior, se otorga un avance del 10%, el porcentaje restante se relaciona con la verificación del ajuste y formalización de los procedimientos y formatos que orientan la gestión de proyectos internos en lo refente a registro, formulación, revisión ejecución y cierre de proyectos.</t>
  </si>
  <si>
    <t>Los procedimientos y formatos no visibilizan los criterios que aplican en la etapa de formulación de proyectos de investigación, a la revisión técnica y presupuestal a cargo de los Departamentos y el Comité de Investigaciones de cada Facultad.</t>
  </si>
  <si>
    <t>Implementar los procedimientos y formatos actualizados</t>
  </si>
  <si>
    <t>Procedimientos y formatos implementados</t>
  </si>
  <si>
    <t>I semestre 2024:
En la observación referida en la matriz de reporte de información, la VRI informó que luego de la aprobación, es recomendable establecer una estrategia de socialización. 
Sin evidencia de avance de la actividad, ya que esta se supedita a la actualización y formalización de los formatos y procedimientos que orientan la gestión de proyectos internos en lo refente a registro, formulación, revisión ejecución y cierre de proyectos, relacionados en la actividad anterior.</t>
  </si>
  <si>
    <t>En los lineamientos, procedimientos y formatos no se describe la clasificación y sub-clasificación de los proyectos de investigación, que identifique si los proyectos corresponden a Desarrollo Interno, Convocatorias internas y/o financiación externa (AS N° 015 de 2015 en u Artículo 8)</t>
  </si>
  <si>
    <t>Los lineamientos internos no consideran la clasificación y subclasificación de los proyectos de Investigación.</t>
  </si>
  <si>
    <t xml:space="preserve">
Documentar las clasificaciones y subclasificaciones para los tipos de investigaciones
(considerar la propuesta de acuerdo)</t>
  </si>
  <si>
    <t>Definir las clasificaciones y subclasificaciones para los tipos de investigación interna.</t>
  </si>
  <si>
    <t>Clasificaciones y subclasifcaciones definidas</t>
  </si>
  <si>
    <t>Documento con clasificaciones
Procedimiento
Manual SIVRI</t>
  </si>
  <si>
    <t>Con oficio 6.1-55.6/515 del 20 de junio de 2024, la VRI reportó la matriz de seguimiento de planes de mejoramiento diligenciada, en la que reportó información relativa a la actividad.</t>
  </si>
  <si>
    <t xml:space="preserve">I semestre 2024:
En la observación referida en la matriz de reporte de información, la VRI informó que se encuentra "En espera de ajuste en SIVRI Se debe determinar la pertinencia de realizarlo a través de procedimiento, manual o documento de clasificaciones"
Sin evidencia de avance para la actividad. </t>
  </si>
  <si>
    <t>No están documentados los términos de referencia para elaborar las convocatorias ni los criterios para el control que corresponde ejercer al Comité de Investigaciones a la revisión y aprobación de las propuestas de convocatorias.</t>
  </si>
  <si>
    <t>No se encuentra documentado el procedimiento con sus respectivos controles a la revisión y aprobación de las propuestas de convocatorias.</t>
  </si>
  <si>
    <t>Documentar los controles para los términos de referencia y elaboración de convocatorias</t>
  </si>
  <si>
    <t>Actualizar los terminos de referencia y controles para la revisión de convocatorias</t>
  </si>
  <si>
    <t xml:space="preserve">
Terminos de referencia y controles actualizados</t>
  </si>
  <si>
    <t xml:space="preserve">I semestre 2024:
En la observación referida en la matriz de reporte de información, la VRI informó que se realizará en el segundo semestre con jurídica VRI, por lo que en el I semestre no presentó avance. </t>
  </si>
  <si>
    <t>No están documentados los lineamientos para la gestión financiera de los proyectos internos de investigación, en lo referente a asignación, modificación, ejecución, seguimiento y control presupuestal</t>
  </si>
  <si>
    <t>No se ha documentado</t>
  </si>
  <si>
    <t>Documentar los lineamientos para la gestión financiera de los proyectos</t>
  </si>
  <si>
    <t>Definir los criterios para asignación, modificación, ejecución, seguimiento y control presupuestal</t>
  </si>
  <si>
    <t>Criterios de gesitón presupuestal definidos</t>
  </si>
  <si>
    <t>Procedimiento
Documento con los criterios de gestión presupuestal</t>
  </si>
  <si>
    <t xml:space="preserve">I semestre 2024:
En la observación referida en la matriz de reporte de información, la VRI informó que se realizará en el segundo semestre con funcionarios contables y jurídicos de la  VRI, por lo que en el I semestre del 2024 no presentó avance. </t>
  </si>
  <si>
    <t>En los soportes documentales de los proyectos de desarrollo interno, se identificaron debilidades en la aplicación de las listas de verificación</t>
  </si>
  <si>
    <t>No se realiza auditoria (autoevaluación) a la aplicaciòn de las listas de verificación</t>
  </si>
  <si>
    <t>Realizar auditorias internas en la aplicaciòn de las listas</t>
  </si>
  <si>
    <t>Autoevaluar la aplicación de las listas de verificación</t>
  </si>
  <si>
    <t>Documento</t>
  </si>
  <si>
    <t xml:space="preserve">I semestre 2024:
En la observación referida en la matriz de reporte de información, la VRI informó que en el segundo semestre se verificará la aplicación de las listas de verificación, por lo que en el I semestre del 2024 no presentó avance. </t>
  </si>
  <si>
    <t>Algunos proyectos no tienen el soporte de acta de inicio u oficialización de inicio.</t>
  </si>
  <si>
    <t>No se aplican controles a los soportes documentales en las diferentes etapas de los procesos</t>
  </si>
  <si>
    <t>Proyectar modelo de acta de inicio y realizar capacitación a equipo de apoyo al investigador</t>
  </si>
  <si>
    <t>Proyectar modelo de acta de inicio</t>
  </si>
  <si>
    <t>Documento actualizado</t>
  </si>
  <si>
    <t>I semestre 2024:
En la observación referida en la matriz de reporte de información, la VRI informó "Una vez aprobado el nuevo formato, se debe socializar y en el segundo semestre se debe verificar que todos los proyectos tengan acta de inicio. Sería recomendable una circular expedida desde la Vicerrectoría que promueva y de impuso orientador a los investigadores"
Sin avance para el I semestre de 2024.</t>
  </si>
  <si>
    <t>Aplicación parcial de las normas de gestión documental que impactan en la organización de los soportes en las etapas de formulación, ejecución y cierre de los proyectos de investigación Internos:
• Deficiencias en la verificación de los soportes que conforman los proyectos internos de investigación, que conlleva a la existencia soportes parciales, documentos con firmas incompletas y duplicidad de documentos.
• Se utilizan formatos sin normalizar por el Sistema de Gestión de la Calidad.</t>
  </si>
  <si>
    <t>Aplicar las normas de gestión documental en la organización de los soportes en las etapas de formulación, ejecución y cierre de los proyectos de investigación Internos</t>
  </si>
  <si>
    <t xml:space="preserve">I semestre 2024:
En la observación referida en la matriz de reporte de información, la VRI informó "En el segundo semestre se realizará auditoria de listas de verificación con el apoyo del equipo de Gestión Documental institucional y de la VRI". 
Sin avance para el I semestre del 2024.
Nota OCI: El alcance de la actividad considerará la acción y la organización del archivo satelital, así como los soportes digitales
</t>
  </si>
  <si>
    <t>CENTRO DE REGIONALIZACIÓN</t>
  </si>
  <si>
    <t>Informe 2.6-52.18/22 de 2023 DE EVALUACIÓN A LA GESTIÓN ADMINISTRATIVA SEDE SANTANDER DE QUILICHAO DE LA UNIVERSIDAD DEL CAUCA</t>
  </si>
  <si>
    <t>1. Sin evidencia del plan de acción anual que consolide la alineación de los objetivos del Centro de Regionalización con su Política, Plan Estratégico, Plan Anticorrupción y de Atención al Ciudadano y Plan de Mejoramiento Institucional.</t>
  </si>
  <si>
    <t>Falta de directrices desde la Oficina de Planeación y Desarrollo Institucional para la elaboración e implementación de Planes de Acción y su articulación con el Plan Estratégico.</t>
  </si>
  <si>
    <t>Elaborar e implementar un plan de acción anual que consolide la alineación de los objetivos del Centro de Regionalización</t>
  </si>
  <si>
    <t>Realizar mesas de trabajo para analizar actividades y proyectos a trabajar</t>
  </si>
  <si>
    <t>Mesas de trabajo realizadas</t>
  </si>
  <si>
    <t xml:space="preserve">Profesionales Universitarios - Funcionarios administrativos - Director Centro de Regionalización - Jefe Oficina de Planeacion y Desarrollo Institucional </t>
  </si>
  <si>
    <t>Actas de Reunión, Listas de Asistencia</t>
  </si>
  <si>
    <t xml:space="preserve">Eficacia y eficiencia del 95%
Gestión e Impacto: 10%
Efectividad: 38,33%
Pese a que la evidencia presentada permite el cumplimiento del Indicador en el plazo establecido, esta no permite demostrar objetividad del ejercicio, por lo tanto su cumplimiento no es efectivo, debido a que el acta no refleja el trabajo realizado para analizar actividades y proyectos a desarrollar.
</t>
  </si>
  <si>
    <t>Construir el Plan de Acción que contenga objetivos,  estrategias, indicadores y cronograma</t>
  </si>
  <si>
    <t>Plan de Acción construido</t>
  </si>
  <si>
    <t>Profesionales Universitarios - Funcionarios administrativos - Director Centro de Regionalización</t>
  </si>
  <si>
    <t>Actas de Reunión, Listas de Asistencia, Documento de Plan de Acción</t>
  </si>
  <si>
    <t>Eficacia y eficiencia del 95%
Gestión e Impacto: 60%
Efectividad: 71,67%
Aunque la evidencia presentada cumple con el plazo establecido para el indicador, no se evidencian todos los criterios relacionados en la descripción de la actividad para la construcción del plan en cuanto a objetivos, estrategias, indicadores.</t>
  </si>
  <si>
    <t>Plan de Acción Implementado</t>
  </si>
  <si>
    <t>Actas de Reunión, Actas de Asistencia, Documento de evaluación de actividades</t>
  </si>
  <si>
    <t>Sin evidencias</t>
  </si>
  <si>
    <t>No se presentó avance para la actividad.</t>
  </si>
  <si>
    <t>2. Sin evidencia de una política publicada que establezca lineamientos para asegurar la calidad, pertinencia y sostenibilidad de los programas descentralizados y regionalizados.</t>
  </si>
  <si>
    <t xml:space="preserve">Falta de los lineamientos respectivos para su formulación </t>
  </si>
  <si>
    <t>Elaborar una Política publicada que establezca lineamientos para asegurar la calidad, pertinencia y sostenibilidad de los programas descentralizados y regionalizados</t>
  </si>
  <si>
    <t xml:space="preserve">Ajustar la propuesta de política de regionalización </t>
  </si>
  <si>
    <t>Propuesta de política ajustada</t>
  </si>
  <si>
    <t>Documento de Propuesta de la Política de Regionalización</t>
  </si>
  <si>
    <t>Con oficio 4.1-55.6/447 del 19 de junio de 2024, el Centro de Regionalización presenta:
1. Propuesta: ACUERDO POLÍTICA DE REGIONALIZACIÓN a 22 de mayo de 2024.
2. Correo del 9/04/2024, remitido a Rectoría con copia a Vicerrectores, jefes de oficina, directores de centro, entre otros, para revisión y aportes de la Politica de Regionalización.
3. Correo del 23/05/2024, dirigido a representante estudiantil de Santander de Quilichao, recordando presentar aportes a la politica de Regionalización, enviada el 25/04/2024 mediante oficio 4.1-55.6/258.
4. Correo del 30/05/2024, enviado por Rectoría al Centro de Regionalización, Vicerrectores, jefes de oficina, directores de centro, entre otros, notificando comentarios a la Política de Regionalización, por parte del Direcctor del Centro de Gestión de la Calidad.
5. Registro fotografico "Mesas de Trabajo-Construcción de la Política (julio 2022)"
6. PDF "SEGUIMIENTO #1 PDI-Política de Regionalización1"
7. PA-GE-2.4- FOR-53 Formato de Reporte de Evidencias V2 (2023)</t>
  </si>
  <si>
    <t>Se otorga un avance del 100% al presentarse Documento de Propuesta de la Política de Regionalización.
Debilidades en la presentación del registro fotografico, no se adjunta acta o listado de asistencia que permita evidenciar fechas, temas de trabajo.
El PDF "SEGUIMIENTO #1 PDI-Política de Regionalización1" establece fechas anteriores a la suscripción del plan de mejoramiento, adémas se percibe como anotaciones, mas no como un seguimiento a la politica.</t>
  </si>
  <si>
    <t xml:space="preserve">Presentar el Documento de la propuesta de la Política de Regionalización  </t>
  </si>
  <si>
    <t>Documento propuesta Presentado</t>
  </si>
  <si>
    <t>Con oficio 4.1-55.6/447 del 19 de junio de 2024, el Centro de Regionalización presenta:
1. Propuesta: ACUERDO POLÍTICA DE REGIONALIZACIÓN a 22 de mayo de 2024.
2. Correo del 9/04/2024, donde se envia a la Rectoría con copia a Vicerrectores, jefes de oficina, directores de centro, entre otros, para revisión y aportes de la Politica de Regionalización.
3. Correo del 23/05/2024, dirigido a representante estudiantil de Santander de Quilichao, recordando presentar aportes a la politica de Regionalización, enviada el 25/04/2024 mediante oficio 4.1-55.6/258.
4. Correo del 30/05/2024, enviado por Rectoría al Centro de Regionalización, Vicerrectores, jefes de oficina, directores de centro, entre otros, notificando comentarios a la Política de Regionalización, por parte del Direcctor del Centro de Gestión de la Calidad.
5. Registro fotografico "Mesas de Trabajo-Construcción de la Política (julio 2022)"
6. PDF "SEGUIMIENTO #1 PDI-Política de Regionalización1"
7. PA-GE-2.4- FOR-53 Formato de Reporte de Evidencias V2 (2023)</t>
  </si>
  <si>
    <t>Se otorga un avance del 100% al presentarse Documento de Propuesta de la Política de Regionalización.</t>
  </si>
  <si>
    <t>Gestionar la aprobación de la Política del Centro de Regionalización</t>
  </si>
  <si>
    <t>Política del Centro de Regionalización aprobada
Aprobación de la política Gestionada</t>
  </si>
  <si>
    <t xml:space="preserve">Director Centro de Regionalización
Consejo Superior </t>
  </si>
  <si>
    <t>Registros de gestiones realizadas</t>
  </si>
  <si>
    <t>Publicar y difundir la Política de Centro de Regionalización</t>
  </si>
  <si>
    <t>Política Publicada y difundida</t>
  </si>
  <si>
    <t>Director Centro de Regionalización
Secretaria General
Director Centro de Gestión de las Comunicaciones</t>
  </si>
  <si>
    <t>Publicación portal web
Correos institucionales</t>
  </si>
  <si>
    <t>No se presentó avance para la actividad, debido a que depende de la realización de otra actividad.</t>
  </si>
  <si>
    <t>3. El numeral 11 del artículo 49 del AS 105 de 1993 publicado en el portal web Institucional, relaciona en la estructura de la Universidad 4 Sedes Académico Administrativas: Santander de Quilichao, Silvia, Guapi y Bolivar; las cuales ninguna evidencia operación administrativa.</t>
  </si>
  <si>
    <t>No hay viabilidad financiera para la operación de las sedes Silvia, Guapi y Bolivar</t>
  </si>
  <si>
    <t>Gestionar la modificación de las normas internas que regulan la operación del Centro de Regionalización</t>
  </si>
  <si>
    <t>Gestionar la modificación del Acuerdo 105 de 1993, Artículo 49, Numeral 11, respecto de las sedes académico administrativas.</t>
  </si>
  <si>
    <t>Modificación gestionada</t>
  </si>
  <si>
    <t>Director Centro de Regionalización</t>
  </si>
  <si>
    <t>Registros de solicitudes realizadas</t>
  </si>
  <si>
    <t>Con oficio 4.1-55.6/447 del 19 de junio de 2024, el Centro de Regionalización presenta:
1. Oficio 4.1-55.6/223 del 04/04/2024, dirigido al comite directivo, asunto: observaciones oficina de control interno, sede Santander de Quilichao, respecto a la observación 3.
2. Oficio 4.1-55.6/359 del 07/06/2024, dirigido a la oficina juridica, asunto: solicitud de modificación al Acuerdo Superior 105 de 1993, Respecto a la observación 3.</t>
  </si>
  <si>
    <t>Se da avance del 100% al cumplir con la unidad de media de la actividad, en cuanto a la solicitud de modificación del Acuerdo AS 105 de 1993, Artículo 49, Numeral 11, respecto de las sedes académico administrativas por parte del Centro de Regionalización.</t>
  </si>
  <si>
    <t>4. En documentos oficiales de la Universidad y en las entrevistas realizadas a los servidores públicos y contratistas que laboran en el Campus Ciudadela Universitaria, se indica la existencia de la Sede Norte, sin embargo, no se registra aprobación formal.</t>
  </si>
  <si>
    <t>Falta de socialización en las dependencias de la Universidad y con las personas que laboran en la Sede Santander de Quilichao, sobre la denominación correcta de la Sede Academico Administrativa, según el Acuerdo 105 de 1993</t>
  </si>
  <si>
    <t>Gestionar la revisión juridica de los criterios para la organización de la Sede Santander de Quilichao y su denominación.</t>
  </si>
  <si>
    <t>Revisión jurídica gestionada</t>
  </si>
  <si>
    <t>Director Centro de Regionalización
Jefe Oficina Jurídica</t>
  </si>
  <si>
    <t>5. Según información de la base de datos SIMCA, los coordinadores de programas de regionalización se vinculan y adscriben a las Facultades y Departamentos de los programas ofertados en Popayán y realizan el servicio de docencia en ambos municipios, sin evidenciar un análisis de conveniencia para mantenerse o introducir cambios en la designación de los docentes para el Municipio de Santander de Quilichao.</t>
  </si>
  <si>
    <t xml:space="preserve">No se cuenta con las competencias académicas y administrativas para la asignación de docentes al programa, realizar modificaciones en la contratación o el análisis de conveniencia de dicha designación. </t>
  </si>
  <si>
    <t>Emitir concepto jurídico</t>
  </si>
  <si>
    <t>Concepto jurídico emitido</t>
  </si>
  <si>
    <t>Jefe Oficina Jurídica</t>
  </si>
  <si>
    <t>Documento con concepto</t>
  </si>
  <si>
    <t>Sin evidencias del concepto juridico presentado por la oficina juridica respecto a las sedes academico administrativas</t>
  </si>
  <si>
    <t>Para los hallazgos 5 y 6 relacionados con personal docente y administrativo de planta no se definieron acciones debido a que son una realidad institucional que no pueden ser gestionados ni subsanados por el Centro.
Se conocio el Oficio 4-55.6/1759 del 20/11/2024 dirigido de la Vicerectoría Académica al Centro de Regionalización, asunto: Respuesta a peticiones con radicado VU 004499 - VU 004500, que describe las gestiones para la vinculación de profesores</t>
  </si>
  <si>
    <t>6. Del personal adscrito al Centro de Regionalización en el Municipio de Santander, el 75% (12) es contratista con vocación transitoria y el 25% (3) es de planta, lo que puede abocar en situaciones que interfieran en el normal desarrollo de los programas académicos, debido al alto número de estudiantes y flujo docente.</t>
  </si>
  <si>
    <t xml:space="preserve">No se cuenta con los recursos financieros para la vinculación del personal de planta que pueda cubrir toda la demanda estudiantil y el flujo docente. </t>
  </si>
  <si>
    <t>Socializar la información de las Sedes acorde a lo aprobado</t>
  </si>
  <si>
    <t>Información socializada</t>
  </si>
  <si>
    <t xml:space="preserve">Respuesta por parte de las dependencias Universitarias </t>
  </si>
  <si>
    <t>Sin evidencias por cuanto depende de las actividades anteriores</t>
  </si>
  <si>
    <t>7. Para la creación y operación de la Unidad presupuestal 5, no se consideró un análisis administrativo y financiero que sustentara su ejecución, así como la preparación (Integración, actualización) de los sistemas de información (Finanzas plus, SQUID, SRF y SIMCA).</t>
  </si>
  <si>
    <t>La normatividad interna  no se encuentra actualizada a la operación del Centro de Regionalización</t>
  </si>
  <si>
    <t>Identificar las necesidades del Centro de Regionalización para el ajuste de las normas internas</t>
  </si>
  <si>
    <t>Necesidades Identificadas</t>
  </si>
  <si>
    <t>Director del Centro de Regionalización</t>
  </si>
  <si>
    <t>Registro de necesidades identificadas</t>
  </si>
  <si>
    <t>Con oficio 4.1-55.6/447 del 19 de junio de 2024, el Centro de Regionalización presenta:
Oficio 4.1-55.6/221 del 04/04/2024, dirigido al Comité Directivo, asunto: Observaciones oficina de control interno - Sede Santander de Quilichao, respecto a la observación 7.</t>
  </si>
  <si>
    <t>Se da un avance del 100% al evidenciar dentro del oficio dirigido al comité directivo la identificación de las necesidades para el ajuste de las normas internas.</t>
  </si>
  <si>
    <t>8. Sin evidencia de lineamientos que fundamenten la aplicación actual del Centro de Regionalización como parte de la Unidad presupuestal 1 y que sustenten la cancelación de la cuenta especial para el manejo de los recursos de la Unidad 5.</t>
  </si>
  <si>
    <t>Requerir las modificaciones normativas tendientes al cierre de la unidad 5 con los análisis técnicos del acta.</t>
  </si>
  <si>
    <t>Documentos de cierre de la Unidad 5</t>
  </si>
  <si>
    <t>Registro de modificaciones requeridas</t>
  </si>
  <si>
    <t>Con oficio 4.1-55.6/447 del 19 de junio de 2024, el Centro de Regionalización presenta:
1. Oficio 4.1-55.6/221 del 04/04/2024, dirigido al Comité Directivo, asunto: observaciones Oficina de Control Interno - Sede Santander de Quilichao, respecto a la observación 7.
2. Oficio 4.1-55.6/360 del 07/06/2024, dirigido a la oficina jurídica, asunto: observaciones Oficina de Control Interno - Sede Santander de Quilichao, respecto a la observación 7.</t>
  </si>
  <si>
    <t>De acuerdo a la información suministrada por el  Centro de Regionalización en la Matriz de seguimiento del plan de mejoramiento, mediante Acta No. 014 del 14 de mayo de 2024, el Comité Directivo aprobó la solicitud de Gestión por parte del Centro de Regionalización, para la modificación del Articulo 67 del Acuerdo Superior 051 de 2007. Sin evidencia del acta de aprobación.
Inconsistencia de la fecha de aprobación por el Comité Directivo debido a que  en la matriz de seguimeinto aparece que se realizó el 14 de mayo de 2024 y el oficio 4.1-55.6/360 del 07/06/2024 dirigido a la oficina jurídica indica que fue el 8 de mayo de 2024.
El avance del 100% se da teniendo en cuenta que se identificaron las necesidades requeridas y se gestionó su modificación.</t>
  </si>
  <si>
    <t>9. En los Actos Administrativos de aprobación y distribución de presupuesto de Rentas y Gastos de funcionamiento e inversión vigencias 2021, 2022, y 2023, se sigue mencionando la Unidad 5, contrario a la información que se reporta en la ejecución del presupuesto en los cuales no se incluye, generando confusión e impactando en la fiabilidad de su contenido.</t>
  </si>
  <si>
    <t xml:space="preserve">Gestionar  la modificación del artículo 67 del Acuerdo 051 de 2007 acorde a las necesidades identificadas por el Centro de Regionalización </t>
  </si>
  <si>
    <t>Registro de gestiones realizadas</t>
  </si>
  <si>
    <t>10. En la vigencia 2022 se adquirió con recursos propios un equipo celular con destino a la dirección de los programas de Regionalización; lo anterior en contravía de los lineamientos internos de austeridad en el gasto público, Artículo 67 del AS 051 del 2007 en cuanto: “… La asignación de teléfonos celulares con cargo a los recursos propios, se hará exclusivamente al Rector, Vicerrectores, y Secretario General…”.</t>
  </si>
  <si>
    <t>11. Consultado los lineamientos del Sistema Integrado de Gestión de Bienestar Laboral - SIGLA 2.0 no se encuentra información sobre las necesidades de capacitación del personal adscrito a la regionalización.</t>
  </si>
  <si>
    <t>No se ha realizado un análisis para gestionar las necesidades de capacitación del talento humano del Centro de Regionalización.</t>
  </si>
  <si>
    <t>Gestionar las necesidades de capacitación del personal del Centro de Regionalización</t>
  </si>
  <si>
    <t>Identificar las necesidades de capacitación del personal del Centro de Regionalización</t>
  </si>
  <si>
    <t>Necesidades identificadas</t>
  </si>
  <si>
    <t xml:space="preserve">
Funcionarios administrativos
Director Centro de Regionalización</t>
  </si>
  <si>
    <t>Se presenta oficio y correo electronico que validan la gestión del Centro de Regionalización para programación de capacitación para docentes y adminsitrativos del Centro de Regionalización. El formato Excel presenta listado de capacitaciones realizadas por algunos funcionarios del Centro, pero no se cuenta con el registro de asistencia.
Las evidencias presentadas no dan cumplimiento a la Identificación de las necesidades de capacitación del personal del Centro de Regionalización, como al indicador de cumplimiento correspondiente a actas de reunión y listados de asistencia, por lo que se da un avance del 20%.</t>
  </si>
  <si>
    <t>Gestionar las necesidades identificadas de capacitación del personal del Centro de Regionalización</t>
  </si>
  <si>
    <t>Necesidades gestionadas</t>
  </si>
  <si>
    <t>Funcionarios administrativos
Director Centro de Regionalización</t>
  </si>
  <si>
    <t>Se presenta oficio y correo electronico que validan la gestión realizada por el Centro de Regionalización para la programación de capacitación dirigida a docentes y adminsitrativos del Centro de Regionalización. El formato Excel presenta listado de capacitaciones realizadas por algunos funcionarios del Centro, pero no se cuenta con el registro de asistencia.
Las evidencias presentadas dan cumplimiento a la gestión de capacitación del personal del Centro de Regionalización, como al indicador de cumplimiento correspondiente a los registros de gestiones realizadas, por lo que se da un avance del 80%, esperando que para el siguiente periodo se continue con las gestiones correspondiente.</t>
  </si>
  <si>
    <t xml:space="preserve">Realizar las capacitaciones respectivas para el Centro de Regionalización </t>
  </si>
  <si>
    <t>PIC y División de Gestión de Talento Humano</t>
  </si>
  <si>
    <t>Certificación de capacitación</t>
  </si>
  <si>
    <t>Las evidencias presentadas no dan cumplimento al indicador (Certificación de capacitación), por lo que no se asigna avance para el periodo.</t>
  </si>
  <si>
    <t>12. Sin evidencia de la participación del Centro de Regionalización en la construcción del plan de capacitación docente y administrativo.</t>
  </si>
  <si>
    <t>Falta de actualización del Acuerdo Superior 005 de 2013, dado que los docentes no están vinculados con el Centro de Regionalización</t>
  </si>
  <si>
    <t>Velar la inclusión de las necesidades de capacitación de los programas académicos regionalizados en el Plan de Capacitación de la Vicerrectoría Académica</t>
  </si>
  <si>
    <t>Gestionar la articulación con el Plan de Capacitación de la Vicerrectoría Academica de los programas regionalizados</t>
  </si>
  <si>
    <t>Articulación Gestionada</t>
  </si>
  <si>
    <t>Profesional universitario - Centro de Regionalización</t>
  </si>
  <si>
    <t>Plan de capacitación de la Vicerrectoría Académica</t>
  </si>
  <si>
    <t>Para el seguimiento con corte diciembre 2024, el centro de Regionalización mediante oficio 4.1-55.6/29 del 29/01/2025 presenta: 
Oficio 4-55.6//1759 del 20/11/2024, asunto: respuesta a peticiones</t>
  </si>
  <si>
    <t xml:space="preserve">La Vicerrectoría Académica en su respuesta emite concepto sobre las responsabilidades adquiridas por parte de los Departamentos, Decanos, Consejo de Facultad y la Vicerrectoría sobre la vinculación de Profesores temporales y de Planta, asi como de la capacitación de los mismos. Igualmente, manifiesta que el Acuerdo superior 005 fue modificado. La OCI no evidencia el documento de modificación, por lo tanto se asigna un avance del 50% a la espera de la publicación. </t>
  </si>
  <si>
    <t>13. La obra física sin terminar genera riesgos de Seguridad y Salud a la comunidad universitaria.</t>
  </si>
  <si>
    <t>Ocupación del edificio sin haber culminado el proyecto de construcción de la obra.</t>
  </si>
  <si>
    <t>Gestionar los riesgos asociados a la infraestructura física de la Sede Santander de Quilichao</t>
  </si>
  <si>
    <t>Identificar los riesgos asociados a la obra de la Sede Santander de Quilichao</t>
  </si>
  <si>
    <t>Solicitud de Atención a riesgos</t>
  </si>
  <si>
    <t>Vicerrectoría Administrativa
Área de Seguridad y Salud en el Trabajo</t>
  </si>
  <si>
    <t>Riesgos identificados</t>
  </si>
  <si>
    <t>Realizar seguimiento a la atención a los riesgos de Seguridad en la obra de la Sede Santander de Quilichao</t>
  </si>
  <si>
    <t>Seguimientos realizados</t>
  </si>
  <si>
    <t>Vicerrectoría Administrativa
Área de Seguridad y Salud en el Trabajo
Director del Centro de Regionalización</t>
  </si>
  <si>
    <t>Registro de Seguimiento a los riesgos identificados</t>
  </si>
  <si>
    <t>Sin evidencias para el periodo</t>
  </si>
  <si>
    <t>14. Sin evidencias que sustenten el apoyo del Centro en desarrollo de programas de formación tecnológica, pregrado y posgrado.</t>
  </si>
  <si>
    <t>Falta de soportes del trabajo que se ha realizado por parte del Centro de Regionalización en el desarrollo de programas de formación tecnológica, pregrado y posgrado.</t>
  </si>
  <si>
    <t>Llevar registros que soporten las reuniones y eventos en los que el Centro de Regionalización apoya el desarrollo de los programas de formación tecnológica, pregrado y posgrado.</t>
  </si>
  <si>
    <t>Evidenciar el trabajo realizado por el Centro con las diferentes Unidades académicas.</t>
  </si>
  <si>
    <t>Trabajo realizado evidenciado</t>
  </si>
  <si>
    <t>Actas de Reunión elaboradas
Actas de Asistencia Diligenciadas
Registro de evidencia tomado</t>
  </si>
  <si>
    <t xml:space="preserve">Para el seguimiento con corte diciembre 2024, el centro de Regionalización mediante oficio 4.1-55.6/29 del 29/01/2025 presenta: Acta No. 25 del 11/09/2024 con su registro de asistencia, No. 26 del 03/10/2024 con su registro de asistencia, No. 29 del 12/09/2024, No. 4.1-3/30 del 29/10/2024.   </t>
  </si>
  <si>
    <t>15. Sin evidenciarse la creación de fondos rotatorios y generación de capitales semillas que den impulso y sostenibilidad financiera a los convenios y en general a las acciones de descentralización en las regiones, en el marco del AS 005 de 2013. Ingresos que pueden aportar en el robustecimiento de los procesos administrativos de apoyo en el municipio de Santander de Quilichao que se encuentran disminuidos; aspectos que fueron evidenciado conforme a análisis anteriores en este documento.</t>
  </si>
  <si>
    <t xml:space="preserve">No se encuentran creados ni implementados actualmente. </t>
  </si>
  <si>
    <t xml:space="preserve">Realizar Análisis técnico para ver la viabilidad de creación de fondos rotatorios o de no ser viable, la modificación del Acuerdo Superior 005 de 2013. </t>
  </si>
  <si>
    <t>Gestionar el análisis de viabilidad de la creación de fondos rotatorios</t>
  </si>
  <si>
    <t>Análisis de viabilidad gestionado</t>
  </si>
  <si>
    <t>Documento de viabilidad de los Fondos Rotatorios para el CR</t>
  </si>
  <si>
    <t>Proponer los ajustes del Acuerdo Superior 005 de 2013 a las necesidades del Centro</t>
  </si>
  <si>
    <t>Ajustes propuestos</t>
  </si>
  <si>
    <t>Registro de propuesta</t>
  </si>
  <si>
    <t>Modificar y actualizar el Acuerdo Superior 005 de 2013</t>
  </si>
  <si>
    <t>Acuerdo modificado y actualizado</t>
  </si>
  <si>
    <t>Secretaría General
Jefe Oficina Jurídica</t>
  </si>
  <si>
    <t>Documento modificado</t>
  </si>
  <si>
    <t>16. El reconocimiento del auxilio de transporte por desplazamiento de los docentes al Municipio de Santander de Quilichao se realiza teniendo en cuenta el consolidado mensual del registro de clases “FOR-54.1 Formato de Registro Clases - Regionalización V2.docx” diligenciado por los docentes; sin embargo, la OCI no evidenció el control y su responsable.</t>
  </si>
  <si>
    <t>El control aplicado para la asistencia de los docentes que orientan asignaturas en el Municipio de Santander de Quilichao no se encuentra formalizado</t>
  </si>
  <si>
    <t>Establecer los controles a la asistencia de los docentes que orientan asignaturas en el Municipio de Santander de Quilichao</t>
  </si>
  <si>
    <t>Ajustar el formato de control de asistencia, que permita verificar los desplazamientos de los docentes al municipio de Santander de Quilichao.</t>
  </si>
  <si>
    <t>Formato ajustado</t>
  </si>
  <si>
    <t>Formato ajustado en el programa Lvmen</t>
  </si>
  <si>
    <t>No se presentó avance para la actividad</t>
  </si>
  <si>
    <t>Socializar e implementar el formato de control de asistencia</t>
  </si>
  <si>
    <t>Formato socializado e implementado</t>
  </si>
  <si>
    <t>Registros de socialización e implementación</t>
  </si>
  <si>
    <t xml:space="preserve">GESTIÓN ACADÉMICA - VICERRECTORIA ACADÉMICA </t>
  </si>
  <si>
    <t>08 de marzo de 2024</t>
  </si>
  <si>
    <t>INFORME 2.6-52.18/03 de 2016 DE EVALUACIÓN AL PROCEDIMIENTO DE OTORGAMIENTO DE COMISIONES ESTUDIOS 
INFORME 2.6-52.18/02 DE 2019 DE AUDITORÍA PROCEDIMIENTO DE EVALUACIÓN AL DESEMPEÑO DOCENTE EN LA UNIVERSIDAD DEL CAUCA
INFORME 2.6-52.18/08 DE 2018 DE EVALUACIÓN AL PROCEDIMIENTO DE COMISIONES ACADÉMICA
INFORME 2.6-52.18/24 DE 2018 DE EVALUACIÓN AL PROCEDIMIENTO DE OTROGAMIENTO DE ESTÍMULCOS ACADÉMICOS</t>
  </si>
  <si>
    <t>07 de marzo de 2025</t>
  </si>
  <si>
    <t>Según oficio 4-55.6/107 del 31/01/2025, la Vicerrectoria Académica solicita la ampliación del plazo de algunas actividades (Comisión de estudios, Evaluación docente, Comisión académica y Estimulos económicos).</t>
  </si>
  <si>
    <r>
      <t>Gestión
(</t>
    </r>
    <r>
      <rPr>
        <sz val="11"/>
        <color theme="0"/>
        <rFont val="Arial"/>
      </rPr>
      <t>% subsana la causa y hallazgo</t>
    </r>
    <r>
      <rPr>
        <b/>
        <sz val="11"/>
        <color theme="0"/>
        <rFont val="Arial"/>
      </rPr>
      <t>)</t>
    </r>
  </si>
  <si>
    <t>Las normas internas sobre Comisión de estudios  presenta vacíos que dificultan  el manejo de situaciones que se presentan en la planeación, ejecución y seguimiento.</t>
  </si>
  <si>
    <t>Debilidades en los controles  e instrumentos aplicados al  procedimiento  de autorización, aprobacion y  ejecución de la comisión de estudios y contraprestación de servicios</t>
  </si>
  <si>
    <t>Establecer  regulaciones, instrumentos  y controles efectivos a la Comisión de estudios y contraprestación de servicios</t>
  </si>
  <si>
    <t xml:space="preserve"> Proponer la reglamentación de  los  aspectos  no previstos sobre la comisión de estudios contemplados en el Estatuto Profesoral</t>
  </si>
  <si>
    <t xml:space="preserve">Propuesta de reglamentación </t>
  </si>
  <si>
    <t>VICERRECTORA ACADÉMICA</t>
  </si>
  <si>
    <t>Documento de propuesta</t>
  </si>
  <si>
    <t>Con oficio 4.55-6/831 del 19/06/2024 la Vicerrectoría Académica presentó:
Documento de propuesta de modificación parcial del Acuerdo Superior 024 de 1993, correspondiente al Capítulo XIV, Artículos 117, 120, 121,  121A. y 122.</t>
  </si>
  <si>
    <t>Al revisar el documento propuesta del Acuerdo Superior se evidencia la modificación de los artículos 117: comisión académica, artículo 120: comisión de estudios, artículo 121: requisitos para otorgar la comisión de estudios, artículo 121A: dedicación de la comisión de estudios al interior del país. artículo 122: derechos y obligaciones del profesor en comisión de estudios.
Por lo anterior, se asigna un avance del 100%, teniendo en cuenta que la evidencia presentada cumple con lo requerido con la unidad de medida e indicador.</t>
  </si>
  <si>
    <t>Retroalimetar la propuesta por parte de los Decanos y la Oficina Jurídica</t>
  </si>
  <si>
    <t>Propuesta retroalimentada</t>
  </si>
  <si>
    <t>Decanos
 Jefe Oficina Jurídica</t>
  </si>
  <si>
    <t>Registros de retroalimentación realizada</t>
  </si>
  <si>
    <t xml:space="preserve"> Ajustar la propuesta con la retroalimentación recibida</t>
  </si>
  <si>
    <t>Propuesta revisada y ajustada</t>
  </si>
  <si>
    <t xml:space="preserve">Según oficio 4-55.6/107 del 31/01/2025,Seguimiento Plan de Mejoramiento 2024-2. Solicita ampliación del plazo hasta el 30 de noviembre 2025, se argumenta que las instancias por las cuales debe pasar el proyecto, son oficinas Jurídica, Consejo Académico y Consejo Superior, pueden realizar observaciones.  </t>
  </si>
  <si>
    <t>El avance esta supeditado a la presentación de observaciones por parte de los decanos.</t>
  </si>
  <si>
    <t>Solicitar el Aval al Consejo Académico.</t>
  </si>
  <si>
    <t xml:space="preserve">Solicitud de Aval </t>
  </si>
  <si>
    <t>VICERRECTORA ACADÉMICA
CONSEJO ACADÉMICO</t>
  </si>
  <si>
    <t>Solicitud de Aval al Consejo Académico</t>
  </si>
  <si>
    <t xml:space="preserve">Según oficio 4-55.6/107 del 31/01/2025,Seguimiento Plan de Mejoramiento 2024-2. Solicita ampliación del plazo hasta el 30 de noviembre 2025, se argumenta que las instancias por las cuales debe pasar el proyecto, son oficinas Jurídica, Consejo Académico y Consejo Superior, pueden realizar observaciones. </t>
  </si>
  <si>
    <t xml:space="preserve">El avance esta supeditado a la presentación de observaciones por parte de los decanos.
</t>
  </si>
  <si>
    <t>Realizar seguimiento para  aprobación por parte del Consejo Superior</t>
  </si>
  <si>
    <t>Seguimiento de aprobación realizado</t>
  </si>
  <si>
    <t>VICERRECTORA ACADÉMICA
Consejo Superior</t>
  </si>
  <si>
    <t>Registros de seguimiento</t>
  </si>
  <si>
    <t>La documentación de los procedimientos presenta una segmentación que  impide la integralidad de  la operación y la aplicación de sus controles.</t>
  </si>
  <si>
    <t>Mejorar los controles  a las diversas etapas del proceso contractual de la Comisión de Estudios y Contraprestación de Servicios</t>
  </si>
  <si>
    <t xml:space="preserve"> Integrar  las actividades de los  procedimientos existentes sobre comisiones de estudio.</t>
  </si>
  <si>
    <t xml:space="preserve"> Procedimiento con actividades integradas </t>
  </si>
  <si>
    <t>VICERRECTORA ACADÉMICA
Jefe Oficina Jurídica
Decanos</t>
  </si>
  <si>
    <t xml:space="preserve"> Procedimiento documentado</t>
  </si>
  <si>
    <t>Socializar el procedimiento integrado y aprobado</t>
  </si>
  <si>
    <t xml:space="preserve">Formatos de tramite de solicitud de comisión de estudios desactualizados </t>
  </si>
  <si>
    <t>Establecer y ajustar los instrumentos de apoyo a la Comisión de estudios</t>
  </si>
  <si>
    <t xml:space="preserve">Revisar y atemperar los formatos de comisión de estudios a las disposiciones vigentes  </t>
  </si>
  <si>
    <t>Formatos  revisados y ajustados</t>
  </si>
  <si>
    <t>Formato  revisado y ajustado</t>
  </si>
  <si>
    <t xml:space="preserve">El  contrato de contraprestación de servicios  presenta inconsistencias en sus fases precontractual, contractual y poscontractual, reflejadas en:
El instrumento que contiene el contrato no es garante de seguridad jurídica de las partes. </t>
  </si>
  <si>
    <t>Mejorar los controles  a las diversas etapas del   proceso contractual de la Comisión de Estudios y Contraprestación de Servicios.</t>
  </si>
  <si>
    <t>Gestionar el ajuste de las minutas de contrato de otorgamiento de comisión de estudios.</t>
  </si>
  <si>
    <t>Gestión de ajuste minutas</t>
  </si>
  <si>
    <t>Registros de la gestión</t>
  </si>
  <si>
    <t xml:space="preserve">No se presentó avance para la actividad
</t>
  </si>
  <si>
    <t xml:space="preserve"> Ajustar la minuta de contrato de otorgamiento de comisión de estudios</t>
  </si>
  <si>
    <t>Minuta ajustada</t>
  </si>
  <si>
    <t>Documento con minuta ajustada</t>
  </si>
  <si>
    <t>Según oficio 4-55.6/107 del 31/01/2025,Seguimiento Plan de Mejoramiento 2024-2. Solicita ampliación del plazo hasta el 30 de noviembre 2025, se argumenta que las minutas de comisión de estudios estan supeditados al ajuste normativo.</t>
  </si>
  <si>
    <t>Implementar la minuta de contrato de otorgamiento de comisión de estudios.</t>
  </si>
  <si>
    <t>Minutas  implementadas</t>
  </si>
  <si>
    <t xml:space="preserve">Contratos </t>
  </si>
  <si>
    <t>La norma interna sobre la evaluaciòn del desempeño presenta vacios e imprecisiones que impiden la aplicaciòn  clara y atemperada a las dinàmicas institucionales tampoco  incluye las actividades de apoyo a programas de posgrado, regionalizaciòn y extensiòn por fuera de la labor docente, se presenta como un simple requisito formal de experiencia calificada para la obtenciòn de puntos salariales y no se reglamenta como criterio de permanencia</t>
  </si>
  <si>
    <t xml:space="preserve"> Presencia de vacios e imprecisiones y disperción en la norma interna sobre la evaluación del desempeño en su labor docente</t>
  </si>
  <si>
    <t>Actualizar y ajustar la norma que regula la evaluación del desempeño profesoral respecto de las actividades establecidas en la labor</t>
  </si>
  <si>
    <t xml:space="preserve">
 Proponer el ajuste y actualización de la norma que regula el procedimiento de evaluación al desempeño docente</t>
  </si>
  <si>
    <t>Ajuste y actualización propuesto</t>
  </si>
  <si>
    <t>VICERRECTORA ACADÉMICA - DECANOS
Comité de Personal Docente Central</t>
  </si>
  <si>
    <t xml:space="preserve">Documento con propuesta de norma de evaluación docente
Actas de reunión </t>
  </si>
  <si>
    <t xml:space="preserve">Según oficio 4-55.6/107 del 31/01/2025,Seguimiento Plan de Mejoramiento 2024-2, se presenta:
Acuerdo Superior 044 de 2024 que modificó el artículo 48 del AS 024 de 1993 y el artículo 11 del AS 090 de 2005. </t>
  </si>
  <si>
    <t xml:space="preserve">Para el segundo semestre 2024
 Se realizo la modificación del Acuerdo Superior 044 del 23 de octubre 2024  del artículo 48 del AS 024 de 1993 y el artículo 11 del AS 090 de 2005. 
</t>
  </si>
  <si>
    <t>La evaluación del estudiantado no tiene preponderancia sobre los resultados generales</t>
  </si>
  <si>
    <t>Los resultados de las evaluaciones de los estudiantes no constituyen referente para las acciones de mejoramiento por profesor</t>
  </si>
  <si>
    <t>Promover acciones de mejoramiento individual para profesores con calificación estudiantil inferior a 7 o su equivalencia en la escala de 0 a 100</t>
  </si>
  <si>
    <t>Establecer directrices para definir  acciones de mejoramiento resultantes de la evaluación docente</t>
  </si>
  <si>
    <t>Directrices establecidas</t>
  </si>
  <si>
    <t>Vicerrectora Académica
DECANOS
Comité de Personal Docente Central</t>
  </si>
  <si>
    <t>Documento con directrices establecidas</t>
  </si>
  <si>
    <t xml:space="preserve">
Según oficio 4-55.6/107 del 31/01/2025,Seguimiento Plan de Mejoramiento 2024-2, se presenta:
 Oficio 4-31/1882 10/12/2024, asunto: Seguimiento a evaluación profesoral a partir del 2024-2, dirigido a Decanos por la Vicerrectoria. Academica.</t>
  </si>
  <si>
    <t>Para el segundo semestre 2024
En la evidencia revisada se constata que se remitio oficio a las nueve facultades, notificando sobre las modificaciones que realiza el acuerdo 044 de 2024.</t>
  </si>
  <si>
    <t xml:space="preserve"> Formular y suscribir acciones de mejora individual por profesores con calificación estudiantil inferior a 7 o su equivalencia en la escala de 0 a 100</t>
  </si>
  <si>
    <t>Acciones de mejora formuladas y suscritas</t>
  </si>
  <si>
    <t>DECANOS
Jefes de Departamento
Comité de Personal Docente de Facultad</t>
  </si>
  <si>
    <t>Registros de acciones formuladas y suscritas</t>
  </si>
  <si>
    <t xml:space="preserve">
Según oficio 4-55.6/107 del 31/01/2025,Seguimiento Plan de Mejoramiento 2024-2, se presenta:
Para el segundo semestre 2024, se conoce el Informe de Evaluacion I-2024</t>
  </si>
  <si>
    <t>El Procedimiento documentado no es referente de operaciòn</t>
  </si>
  <si>
    <t xml:space="preserve"> El procedimiento no describe controles,actividades y responsables demanera correcta</t>
  </si>
  <si>
    <t>Documentar y unificar un procedimiento de evaluación al desempeño docente conforme a las metodologias de calidad que permitan establecer demanera clara actividades, controles y responsables</t>
  </si>
  <si>
    <t xml:space="preserve"> Ajustar el procedimiento de evaluación Profesoral</t>
  </si>
  <si>
    <t xml:space="preserve">Procedimiento  de evaluación docente ajustado </t>
  </si>
  <si>
    <t>Procedimiento  de evaluación profesoral ajustado y aprobado</t>
  </si>
  <si>
    <t>Según oficio 4-55.6/107 del 31/01/2025,Seguimiento Plan de Mejoramiento 2024-2. Solicita ampliación del plazo hasta el 20 de junio 2025.</t>
  </si>
  <si>
    <t xml:space="preserve"> Establecer instrumentos y herramientas generales para la evaluación profesoral</t>
  </si>
  <si>
    <t>Instrumentos y herramientas de evaluación profesoral establecidos</t>
  </si>
  <si>
    <t>Instrumentos y herrramientas aprobados</t>
  </si>
  <si>
    <t>La encuesta estudiantil aplicada a través de la plataforma SIMCA presenta fallas en su diseño e implementaciòn</t>
  </si>
  <si>
    <t>El cuestionario estudiantil  para evaluar a los profesores no contiene criterios claros y precisos que permitan una adecuada evaluación</t>
  </si>
  <si>
    <t>Ajustar el cuestionario de evaluación estudiantil  aplicado a través de la plataforma SIMCA</t>
  </si>
  <si>
    <t xml:space="preserve"> Revisar y ajustar el cuestionario de evaluación profesoral por parte de los estudiantes</t>
  </si>
  <si>
    <t>Cuestionario ajustado</t>
  </si>
  <si>
    <t>Según oficio 4-55.6/107 del 31/01/2025,Seguimiento Plan de Mejoramiento 2024-2.
Mediante oficio 4.55-6/831 del 19/06/2024 la Vicerrectoría Académica presentó:Oficio 4-55.6/815 del 17/06/2024, enviado mediante correo electrónico el 18/06/2024, solicitud de revisión de preguntas evaluación profesoral.</t>
  </si>
  <si>
    <t>Socializar los ajustes del cuestionario de evaluación profesoral</t>
  </si>
  <si>
    <t>Cuestionario socializado</t>
  </si>
  <si>
    <t>VICERRECTORA ACADÉMICA - DECANOS</t>
  </si>
  <si>
    <t>Según oficio 4-55.6/107 del 31/01/2025,Seguimiento Plan de Mejoramiento 2024-2.
Cuestionario de evaluación profesoral</t>
  </si>
  <si>
    <t>Las resoluciones de experiencia calificada no cuentan con debida motivación</t>
  </si>
  <si>
    <t xml:space="preserve">Las resoluciones carecen de técnica jurídica para su elaboración </t>
  </si>
  <si>
    <t>Establecer controles a la motivación en la expedición de Resoluciones</t>
  </si>
  <si>
    <t>Proponer los criterios generales para la elaboración de Resoluciones.</t>
  </si>
  <si>
    <t>Criterios propuestos</t>
  </si>
  <si>
    <t>Criterios Propuestos</t>
  </si>
  <si>
    <t xml:space="preserve">Con oficio 4.55-6/831 del 19/06/2024 la Vicerrectoría Académica presentó:
Documento: Proyecto de resolución calificación profesoral.
</t>
  </si>
  <si>
    <t xml:space="preserve">Se asigna un avance del 100%, al corroborar que el modelo propuesto para la expedición de Resoluciones de experiencia docente calificada contiene criterios generales para su diligenciamiento, donde se ajusta la motivación del mismo en cuanto a la normatividad que lo rige, avales dados por las dependencias correspondientes, aspectos que no se tienen en cuenta en los actuales actos administrativos (Resolución 370 del 07 de junio de 2024) cumpliendo de esta manera con el indicador. </t>
  </si>
  <si>
    <t>Definir los criterios generales para la elaboración de Resoluciones.</t>
  </si>
  <si>
    <t>Criterios definidos</t>
  </si>
  <si>
    <t>Criterios aprobados</t>
  </si>
  <si>
    <t>Según oficio 4-55.6/107 del 31/01/2025,Seguimiento Plan de Mejoramiento 2024-2. Solicita ampliación del plazo hasta el 30 de octubre 2025</t>
  </si>
  <si>
    <t>No se han identificado riesgos asociados al proceso de evaluaciòn al desempeño docente</t>
  </si>
  <si>
    <t xml:space="preserve"> Debilidad en la gestión del riesgo</t>
  </si>
  <si>
    <t>Identificar los riesgos asociados al proceso de evaluación al desempeño docente.</t>
  </si>
  <si>
    <t>Gestionar los riesgos asociados al proceso de evaluación al desempeño profesoral</t>
  </si>
  <si>
    <t>Riesgos  gestionados</t>
  </si>
  <si>
    <t xml:space="preserve">Matriz  de riesgos gestionados
Actas </t>
  </si>
  <si>
    <t>Inexistencia de un Plan de capacitación institucional consolidado y articulado con los planes de acción de las facultades y las oportunidades de mejora resultantes del informe de autoevaluación para el proceso de reacreaditación Institucional.</t>
  </si>
  <si>
    <t xml:space="preserve">Falta de directriz completa que permita la consolidación de un plan de capacitación </t>
  </si>
  <si>
    <t xml:space="preserve">
Determinar las directrices para la formulación  y ejecución del plan de capacitación profesoral
 </t>
  </si>
  <si>
    <t xml:space="preserve"> Identificar las necesidades de capacitación profesoral</t>
  </si>
  <si>
    <t>Necesidades identificadas y priorizadas</t>
  </si>
  <si>
    <t>VICERRECTORA ACADÉMICA
DECANOS</t>
  </si>
  <si>
    <t xml:space="preserve">Registros que identifiquen las necesidades de capacitación </t>
  </si>
  <si>
    <t xml:space="preserve">Con oficio 4.55-6/831 del 19/06/2024 la Vicerrectoría Académica presentó:
Acta 4.3-58/13 del 3/05/24 plan capacitación
Formato guía plan de desarrollo profesoral (archivo word)
Carpeta: "PC 2024" que contiene 22 archivos word, cada con un plan de capacitación por cada departamento
Documento formato PDF: "scaneo plan de capacitación varias facultades".
Matriz Excel: "planes de capacitación 2024-1", donde se realiza seguimiento a la entrega de planes de capacitación profesoral por departamento
Matriz Excel: "Consolidado planes de desarrollo 2024"
</t>
  </si>
  <si>
    <t xml:space="preserve"> Elaborar el plan anual de capacitación profesoral con necesidades priorizadas</t>
  </si>
  <si>
    <t xml:space="preserve">Plan de capacitación elaborado </t>
  </si>
  <si>
    <t>VICERRECTORA ACADÉMICA
Decanos</t>
  </si>
  <si>
    <t>Plan de capacitación documentado</t>
  </si>
  <si>
    <t>Con oficio 4.55-6/831 del 19/06/2024 la Vicerrectoría Académica presentó:
Acta 4.3-58/13 del 3/05/24 plan capacitación, tema: "Avance plan de capacitación profesoral que hace parte del plan de mejoramiento suscrito con la Oficina de Control Interno", establece responsabilidades para la consolidación de los planes de capacitación reportados por las 9 facultades.
LINK POWERBI  capacitación  profesoral  
https://app.powerbi.com/view?r=eyJrIjoiYjllYzE5NjYtZDFiZC00N2M1LTk0MzMtODRhYmQyNzJkYWY1IiwidCI6ImU4MjE0OTM3LTIzM2ItNGIzNi04NmJmLTBiNWYzMzM3YmVlMSIsImMiOjF9
el cual dirige al plan de capacitación Unicauca, donde se consolida y sistematiza toda la información en aplicativo de las vigencias 2023 y 2024, en el cual se puede consultar la información por facultad, cantidad de docentes, vinculación del docente, tipo de información (labor, comisión de estudio ...), descripción (doctorado, maestria, ...), estado de formación (activo, finalizado), entre otros.</t>
  </si>
  <si>
    <t>Inexistencia de reglamentación o procedimientos documentados que ayuden a la formulación de los Planes de capacitación docente y a la operación de las comisiones académicas.</t>
  </si>
  <si>
    <t>Implementar el plan anual de capacitación profesoral con necesidades priorizadas</t>
  </si>
  <si>
    <t>Plan de capacitación Implementado</t>
  </si>
  <si>
    <t xml:space="preserve">VICERRECTORA ACADÉMICA
Decanos </t>
  </si>
  <si>
    <t>Talento Humano
Recursos Financieros</t>
  </si>
  <si>
    <t>Plan de capacitación implementado</t>
  </si>
  <si>
    <t xml:space="preserve">La normativa interna y los procedimientos no regulan integralmente los aspectos relativos a la comisión académica </t>
  </si>
  <si>
    <t xml:space="preserve">Carencia de reglamentación clara, la cual determine las condiciones para las comisiones académicas </t>
  </si>
  <si>
    <t>Identificar y reglamentar el procedimiento de comisión académica</t>
  </si>
  <si>
    <t>Proponer la reglamentación de los aspectos no previstos sobre las comisiones académicas</t>
  </si>
  <si>
    <t>Propuesta de reglamentación</t>
  </si>
  <si>
    <t xml:space="preserve">VICERRECTORA ACADÉMICA </t>
  </si>
  <si>
    <t>Reglamentación aprobada</t>
  </si>
  <si>
    <t xml:space="preserve">Documentar el procedimiento para comisiones académicas </t>
  </si>
  <si>
    <t>Procedimiento publicado</t>
  </si>
  <si>
    <t xml:space="preserve">Implementar el procedimiento para comisiones académicas </t>
  </si>
  <si>
    <t>Procedimiento Implementado</t>
  </si>
  <si>
    <t>Registros de implementación</t>
  </si>
  <si>
    <t>Según oficio 4-55.6/107 del 31/01/2025,Seguimiento Plan de Mejoramiento 2024-2. Solicita ampliación del plazo hasta el 30 de noviembre 2025</t>
  </si>
  <si>
    <t xml:space="preserve">Inexistencia de normatividad para los estímulos económicos </t>
  </si>
  <si>
    <t xml:space="preserve">Ausencia de normatividad especial, aplicable a los estimulos economicos </t>
  </si>
  <si>
    <t xml:space="preserve">Reglamentar las actividades sobre los estimulos economicos </t>
  </si>
  <si>
    <t xml:space="preserve">Proponer la reglamentación de estimulos económicos </t>
  </si>
  <si>
    <t xml:space="preserve">Propuesta de
Reglamentación elaborada </t>
  </si>
  <si>
    <t xml:space="preserve">VICERRECTORA ACADÉMICA
Vicerrector de Investigaciones
Vicerrector de Cultura y Bienestar
Vicerrector Administrativo
Decanos </t>
  </si>
  <si>
    <t>Propuesta  de reglamentación documentada</t>
  </si>
  <si>
    <t>Retroalimentar la propuesta de reglamentación de estimulos económicos</t>
  </si>
  <si>
    <t xml:space="preserve">
 Jefe Oficina Jurídica</t>
  </si>
  <si>
    <t>Propuesta ajustada</t>
  </si>
  <si>
    <t xml:space="preserve">
Para el segundos semestre 2024
No se presentan evidencias</t>
  </si>
  <si>
    <t xml:space="preserve">Gestionar la aprobación e implementación de la propuesta de reglamentación de estimulos económicos con las instancias pertinentes </t>
  </si>
  <si>
    <t>Aprobaciones gestionadas</t>
  </si>
  <si>
    <t>Registros de gestión de aprobación e implementación</t>
  </si>
  <si>
    <t xml:space="preserve">Para el segundos semestre 2024
No se presentan evidencias. 
</t>
  </si>
  <si>
    <t xml:space="preserve">Inexistencia del procedimiento documentado de los estímulos económicos 
Inexistencia de un archivo con la información que agilice y evite el reproceso y flujo innecesario de documentos para los estimulos económicos </t>
  </si>
  <si>
    <t>Ausencia de la creación del proceso de estimulos economicos en la plataforma lvmen</t>
  </si>
  <si>
    <t xml:space="preserve"> Diseñar y documentar el procedimiento  de estimulos economicos publicado</t>
  </si>
  <si>
    <t>Formalizar el procedimiento de estimulos económicos</t>
  </si>
  <si>
    <t>Procedimiento formalizado</t>
  </si>
  <si>
    <t xml:space="preserve"> Implemetar el procedimiento de estimulos economicos</t>
  </si>
  <si>
    <t>Según oficio 4-55.6/107 del 31/01/2025,Seguimiento Plan de Mejoramiento 2024-2.
PM-FO-4 PR-45 trámite y pago de estímulos Económicos,
PA-GA-5-FOR-51 Lista de chequeo de estímulos Económicos . 
Se asigna un avance del 80%</t>
  </si>
  <si>
    <t xml:space="preserve">Para el segundos semestre 2024
Con las evidencias recibidas, se puede inferir que desde la Vicerrectoría Académica se realiza actividades para Diseñar y documentar el procedimiento  de estimulos económicos. </t>
  </si>
  <si>
    <t>Vicerrectoría Académica</t>
  </si>
  <si>
    <t xml:space="preserve">Informe 2.6-27.13/12 del 2024 de evaluación al procedimiento para el reconocimiento de honorarios de los profesores invitados			</t>
  </si>
  <si>
    <t>La herramienta de control adolece de elementos o variables suficientes que permitan el adecuado control al estado de las actividades ejecutadas para el procedimiento de reconocimiento de honorarios de profesores invitados, desde las etapas de solicitud, reconocimiento y pago.
No se diligencia información completa, por lo que se dificultó determinar, entre otros aspectos, las unidades académicas que tienen mayor frecuencia en la solicitud y reconocimiento de honorarios (...)</t>
  </si>
  <si>
    <t>No se utilizan sistemas de información que utilicen terminologias comunes, además no existen criterios unificados para el registro de la información en las herramientas de apoyo.</t>
  </si>
  <si>
    <t xml:space="preserve">
Unificar terminologías y criterios en los sistemas que se utilizan para el registro de los tramites de profesores invitados.</t>
  </si>
  <si>
    <t>Ajustar e implementar herramientas de control para el procedimiento de profesor invitado</t>
  </si>
  <si>
    <t>Herramientas ajustadas e implemetadas</t>
  </si>
  <si>
    <t xml:space="preserve">Profesional Universitario </t>
  </si>
  <si>
    <t>Tabla de excel (Herramienta de control)</t>
  </si>
  <si>
    <t xml:space="preserve">Se informó en oficio 4-55.6/108 del 31/01/2025 lo siguiente:
1. Relación de solicitudes de reconocimiento de honorarios a profesores invitados, tramitadas de septiembre a diciembre de 2024.
2. Relación de pagos a profesores invitados, tramitados de septiembre a diciembre de 2024. </t>
  </si>
  <si>
    <t>En la evidencias:
1. Relación de solicitudes de reconocimiento de honorarios a profesores invitados tiene 5 pestañas: septiembre con 62 registros, octubre con 65 registros, noviembre con 118 registros , diciembre con 53 registros y gastos de desplazamiento con 46 registros) concluyendo un total de 298 registros en el periodo comprendido de septiembre a diciembre. En la matiz se encontró información incompleta por cuanto no se diligencia la totalidad de datos en: programas académicos, objeto, fechas y valor, entre otros. de otro lado, no se establecen las horas de algunos profesores como jurados, directores y orientadores. 
2. Relación de pagos a profesores invitados, consolida los pagos tramitados de septiembre a diciembre de 2024, concluyendo un total de 431 registros, solo se  relaciona en 416 Resoluciones y su consecutivo, algunas casillas se encuentran sin diligenciar, información que no coincide con las registradas en las matriz de solicitudes de reconocimientos de honorarios. 
La OCI concluye que existen mejoras en las herramientas implementadas, pero estas presentan información sin diligenciar, además la información de las dos herramientas presentadas no coincide en totales.
Por lo anterior se asigna avance de 80%, pendiente la verificación de los ajustes a las herramientas y la implementación de 2025.1.</t>
  </si>
  <si>
    <t>Debilidad en la documentación y presentación de las necesidades de profesor invitado; de la muestra revisada solo el 33% presentaron acta del departamento, sin embargo, no contienen los criterios definidos en la Resolución VRA 548 de 2023, y el 67% no evidenciaron el acta.</t>
  </si>
  <si>
    <t>La falta de difinición clara de los criterios en la Resolución VRA 548 de 2023, así como la creación de una formato con lista de chequeo de la documentación y falta de un procedimiento establecido formalizado en Lvmen.</t>
  </si>
  <si>
    <t xml:space="preserve">Definir y aplicar los criterios mínimos para las solicitudes por las dependencias, así como crear formato de lista de chequeo  y procedimiento. </t>
  </si>
  <si>
    <t xml:space="preserve">Proyectar la reforma de la resolución VRA 548 de 2023, lista de chequeo y procedimiento. </t>
  </si>
  <si>
    <t>Reforma proyectada, lista de chequeo y procedimiento proyectado</t>
  </si>
  <si>
    <t>Proyeccion reforma en word.</t>
  </si>
  <si>
    <t>Se informó en oficio 4-55.6/108 del 31/01/2025 lo siguiente:
3. Propuesta normativa "Por el cual se deroga la Resolución VRA 548 de 2023 y se establece el procedimiento y requisitos para el reconocimiento de honorarios de los profesores invitados en actividades de docencia en pregrado, posgrado y extensión".
4. Programa LVMEN. Profesores Invitados
5. PA-GA-5-FOR-49 Lista de chequeo Reconocimiento y Pago Profesores Invitados V2 
6. PM-FO-4-PR-52 Reconocimiento Honorarios a Profesores Invitados V1</t>
  </si>
  <si>
    <t xml:space="preserve">En las evidencias:
3. Propuesta normativa "Por el cual se deroga la Resolución VRA 548 de 2023 y se establece el procedimiento y requisitos para el reconocimiento de honorarios de los profesores invitados en actividades de docencia en pregrado, posgrado y extensión".
• Esta se amplía en los considerandos teniendo en cuenta el acuerdo 004 de 2025 "el cual se reglamenta la contratación y se determina la remuneración por actividades realizadas en los programas de Posgrados en la Universidad del Cauca capítulo V.
• El Consejo Superior a través del Acuerdo Superior 020 de 2023, reglamentó las actividades del profesor invitado en la Universidad del Cauca, prescribiendo que corresponde a la Vicerrectoría Académica establecer el procedimiento para el reconocimiento de honorarios a los profesores invitados, conforme la actividad profesoral.
• En el resuelve se establecen criterios unificados de los lineamientos internos para los departamentos, jefes, decanaturas, coordinadores, entre otros, en cuanto a la prestación del servicio de los profesores invitados nacionales y extranjeros, solicitudes de justificación de la necesidad, perfil, plazo, intensidad horaria total, liquidación, actividades y productos a entregar y supervisor, en los programas de pregrado, posgrado y extensión, igualmente, se define los tiempos de solicitud de CDP, documentación requerida para el pago, afiliación y pago al sistema de seguridad social (salud, pensión y ARL), de acuerdo a los honorarios, entre otros.
Pendiente la revisión por la Vicerrectororía Administrativa como corresponsable de algunas actividades del procedimiento para su posterior aprobación.
4. Programa Lvmen imagen del proceso y formato
5. PA-GA-5-FOR-49 V2 16/07/2024 Lista de chequeo reconocimiento y pago de profesores invitados 
6. PM-FO-4-PR-52 V1 19/07/2024 Procedimiento Reconocimiento de Honorarios Profesores Invitados  
Se realizó la actualización de la lista de chequeo y procedimiento de profesores imnvitados y se encuentra en la plataforma LVMEN.
Se da avance de 100%
</t>
  </si>
  <si>
    <t>Efectividad de 75%
Promedio eficacia y eficiencia de 100%.
Gestión: 100% se cuenta con la propuesta de ajuste al acto administrativo que regula el procedimiento de reconocimiento de honorarios de profesores inivitados, y se actualizo el procedimiento y algunos formatos.
Impacto: 25%, aun no se cuenta con el acto administrativo aprobado y publicado.
La OCI valorará posterior al cierre de la actividad la efectividad de la misma, con el objetivo de que se logre la actualización del acto administrativo que regula el procedimiento de reconocimiento de honorarios de profesores invitados.</t>
  </si>
  <si>
    <t>Los lineamientos para la solicitud de expedición del Certificado de Disponibilidad Presupuestal no se definen adecuadamente, encontrando que las dependencias solicitantes presentan la solicitud de expedición de CDP junto con la solicitud de reconocimiento de honorarios, por lo que en algunos casos el CDP se expidió con fechas posteriores a las solicitudes de profesor invitado.</t>
  </si>
  <si>
    <t>El procedimiento documentado, no contempla claramente las actividades a desarrollar para la expedición de CDP</t>
  </si>
  <si>
    <t>Ajustar el procedimiento y requisitos para el reconocimiento de honorarios de los profesores invitados</t>
  </si>
  <si>
    <t>Documentar actividades para la expedición de Certificados de Disponibilidad Presupuestal</t>
  </si>
  <si>
    <t>Actividades documentadas y socializadas</t>
  </si>
  <si>
    <t xml:space="preserve">Se informó en oficio 4-55.6/108 del 31/01/2025 lo siguiente:
4. Programa LVMEN. Profesores Invitados.
6. PM-FO-4-PR-52 Reconocimiento Honorarios a Profesores Invitados V1.
7. PRUEBAS. Capacitaciones con relación al procedimiento de reconocimiento y pago de honorarios a profesores invitados
</t>
  </si>
  <si>
    <t xml:space="preserve">En las evidencias:
El procedimiento 6. PM-FO-4-PR-52 Reconocimiento Honorarios a Profesores Invitados, define en la actividad 5, 6 y 7 en lo relacionado a la solicitud y expedición de certificado de disponibilidad presupuestal – CDP que involucra a  la Vicerrectoría Administrativa y División de Gestión Financiera. </t>
  </si>
  <si>
    <t xml:space="preserve">Efectividad de 100%
Promedio eficacia y eficiencia: 100%.
Gestión: 100%, se actualizó el procedimiento con la definicion de actividades para la solicitud y expedición de CDP, que involucra a la Vicerrectoría administrativa y la Dvisión de gestión financiera.
Impacto: 100%, Se ejecutan las capacitacitaciones de manera progresiva a los enlaces de la Unidad Pedagógica de Licenciaturas, facultad de ciencias contables, Económicas y Administrativas y Posgrados.
La OCI valorará posteriormente que se continue revisando el contenido del procedimiento y las actividades relacionadas con la solicitud y expedición de CPD.
Se recomienda:
 revisar las actualizaciones del procedimiento en conjunto con las dependencias que tienen responsabilidad.
Continuar con las actividades de divulgación para una mayor comprensión de los actores involucrados y lograr el llegar al 100% de las dependencia, igualmente,realizar acta y listas de asistencia. </t>
  </si>
  <si>
    <t>Las dependencias solicitantes no presentan los soportes completos de los documentos exigidos en el procedimiento: Hojas de vida, documentos de identidad, Registro Único Tributario – RUT, soportes de afiliación al Sistema de Seguridad Social y Riesgos Laborales, soportes de Antecedentes: disciplinario, fiscal, judicial, medidas correctivas y delitos sexuales, Certificación cuenta bancaria.</t>
  </si>
  <si>
    <t>No se han definido responsabilidades para la custodia de información relacionada con el procedimiento de profesor invitado.</t>
  </si>
  <si>
    <t>Ajustar el procedimiento, donde se establezca de forma clara el area encargado de archivo de la documentación para el reconocimiento de honorarios de los profesores invitados</t>
  </si>
  <si>
    <t xml:space="preserve">Definir actividades y responsabilidades para la custodia de información relacionada con profesor invitado </t>
  </si>
  <si>
    <t>Responsabilidades y actividades definidas.</t>
  </si>
  <si>
    <t>Se informó en oficio 4-55.6/108 del 31/01/2025 lo siguiente:
3. Propuesta normativa "Por el cual se deroga la Resolución VRA 548 de 2023 y se establece el procedimiento y requisitos para el reconocimiento de honorarios de los profesores invitados en actividades de docencia en pregrado, posgrado y extensión".
6. PM-FO-4-PR-52 Reconocimiento Honorarios a Profesores Invitados V1.</t>
  </si>
  <si>
    <t>En las evidencias:
Se verificó que en el procedimiento no se aborda el tema de gestión documental y el responsable de la custodia de este.
No obstante, en la evidencia 3. Propuesta normativa de la Resolución VRA 548 de 2023, se establece quienes son los responsables de la custodia de los archivos generados en el proceso de profesor invitado.   
Se asinga avance de 60%, pendiente la revisión del procedimiento con la definición de lineamientos para la custodia de información relacionada con profesor invitado.</t>
  </si>
  <si>
    <t>En la proyección de los actos administrativos se presentan debilidades por cuanto:
No existe uniformidad en la descripción de los considerandos y se describe marco normativo que no aplica.
no se relaciona el nivel de estudio del profesor invitado (Profesional, Especialización, Maestría, Doctorado) y el número de horas, dificultando determinar las variables y escala aplicada para el cálculo de los honorarios.
Se liquidan honorarios por fuera de los rangos establecidos en los lineamientos internos, Resolución Rectoral 834 de 2023 y el Acuerdo Superior 004 de 2015 para la vigencia 2023
Se describe que se realizará más de un pago, contrariando lo definido en las normas internas.
En la Resolución VDAM 0355 del 16/02/2024, la cantidad de horas a orientar es de 414, superando lo contemplado en la Resolución 548 que establece un máximo de 240 horas.</t>
  </si>
  <si>
    <t>No se cuenta con modelo estandarizado para la proyección de los actos administrativos en lo relacionado con profesor invitado</t>
  </si>
  <si>
    <t>Implementar una minuta que contenga los criterios mínimos a considerar para la proyección de los actos administrativos.</t>
  </si>
  <si>
    <t>Definir e implementar minuta de Resolución que reconoce honorarios a profesores invitados</t>
  </si>
  <si>
    <t>Minuta definida e implementada</t>
  </si>
  <si>
    <t>Proyeccion minuta en word.</t>
  </si>
  <si>
    <t>No se envía evidencia de la actividad</t>
  </si>
  <si>
    <t>Sin avance de la actividad</t>
  </si>
  <si>
    <t>Los actos administrativos son expedidos por la Vicerrectoría Administrativa, encontrando debilidad en la revisión del contenido, además no se realiza una adecuada comunicación a los interesados: Vicerrectoría Académica y Dependencias solicitantes.</t>
  </si>
  <si>
    <t>Falta de claridad en la forma en que se debe  comunicar el acto administrativo</t>
  </si>
  <si>
    <t>Definir en la resolución VRA los criterios para la comunicación de los actos administrativos expedidos por la Vicerrectoría Administrativa</t>
  </si>
  <si>
    <t>Definir en el proyecto de reforma de la resolución VRA 548 de 2023, sobre la forma de comunicación del acto administrativo.</t>
  </si>
  <si>
    <t xml:space="preserve">Proyecto de reforma definida </t>
  </si>
  <si>
    <t>Se informó en oficio 4-55.6/108 del 31/01/2025 lo siguiente:
3. Propuesta normativa  "Por el cual se deroga la Resolución VRA 548 de 2023 y se establece el procedimiento y requisitos para el reconocimiento de honorarios de los profesores invitados en actividades de docencia en pregrado, posgrado y extensión".</t>
  </si>
  <si>
    <t xml:space="preserve">En las evidencias:
De la propuesta normativa Resolución VRA 548 de 2023, establece que la Vicerrectoría Administrativa una vez se verifique la información, expedirá y comunicará mediante correo electrónico a los destinatarios que se indiquen en el acto administrativo.  
</t>
  </si>
  <si>
    <t>Efectividad 73%
Promedio eficacia y eficiencia de 95%
Gestión 100%, se cuenta con la propuesta de ajuste al acto administrativo que regula el procedimiento de reconocimiento de honorarios de profesores inivitados, incluye criterio y responsable de la comunicación de los actos administrativos de reoncimiento de honorarios.
Impacto: 25%, se encuentra pendiente la revisión y aprobación del acto administrativo.</t>
  </si>
  <si>
    <t>Los actos administrativos que regulan el procedimiento de Profesor Invitado no contemplan al Conservatorio de Música, Unidad Pedagógica, Vicerrectoría de Cultura y Bienestar, Unilingüa, entre otras Dependencias que prestan servicios de extensión, las cuales recurren a las escalas establecidas en la Resolución Rectoral 834 de 2023 o el acuerdo Superior 004 para la liquidación de pago, según la conveniencia.</t>
  </si>
  <si>
    <t>Falta de especificar con los nombres de las dependecias universitarias, ya que estan identificadas de forma general por su actividad de extensión.</t>
  </si>
  <si>
    <t>Incluir en las normas de forma específica al Conservatorio de Música, Unidad Pedagógica, Vicerrectoría de Cultura y Bienestar, Unilingüa en el procedimiento de profesor invitado</t>
  </si>
  <si>
    <t xml:space="preserve">
Incluir en la reforma normativa los criterios a aplicar para las dependencias o divisiones universitarias que apliquen el procedimiento de profesor invitado </t>
  </si>
  <si>
    <t>Áreas, dependecias o divisiones universitarias referenciadas</t>
  </si>
  <si>
    <t>Se informó en oficio 4-55.6/108 del 31/01/2025 lo siguiente:
3. Propuesta normativa "Por el cual se deroga la Resolución VRA 548 de 2023 y se establece el procedimiento y requisitos para el reconocimiento de honorarios de los profesores invitados en actividades de docencia en pregrado, posgrado y extensión".</t>
  </si>
  <si>
    <t xml:space="preserve">
En las evidencias:
• ARTÍCULO SEGUNDO. Del procedimiento para el reconocimiento de honorarios a profesores invitados en programas de pregrado. Para el reconocimiento de honorarios por la prestación de servicios de profesores invitados en los componentes curriculares de los programas de pregrado.
• ARTÍCULO TERCERO. Del procedimiento para actividades de docencia en programas de posgrado. Para el reconocimiento de honorarios por la prestación de servicios de profesores invitados en los componentes curriculares de los programas de posgrado.
• ARTÍCULO CUARTO. Del procedimiento para actividades de extensión. Para la prestación de servicios de profesores invitados en actividades de extensión.
Se unifica la liquidación de honorarios, con base en la escalas establecidas para pregrado, posgrado y extensión 
</t>
  </si>
  <si>
    <t>Efectividad 73%
Promedio eficacia y eficiencia de 95%
Gestión 100%, se cuenta con la propuesta de ajuste al acto administrativo que regula el procedimiento de reconocimiento de honorarios de profesores inivitados, incluye criterios para los prgoramas de pregrado, posgrado y extención.
Impacto: 25%, se encuentra pendiente la revisión y aprobación del acto administrativo.</t>
  </si>
  <si>
    <t>Se presentan debilidades en la presentación de los soportes para el pago de los profesores invitados, en lo relacionado al informe de actividades, certificado de cumplimiento de actividades, y demás documentos requeridos en el procedimiento.</t>
  </si>
  <si>
    <t xml:space="preserve">No existencia de formatos para certificado de pago, informes de actividades y lista de chqueo de documentos a aportar. Falta de socialización. </t>
  </si>
  <si>
    <t>Crear formatos para el certificado para pago, informe de actividades, listado de docummentos a aportar.</t>
  </si>
  <si>
    <t>Definir formato para la certificación de las actividades realizadas por los profesores invitados y presentación del informe de actividades</t>
  </si>
  <si>
    <t>Formatos definidos</t>
  </si>
  <si>
    <t>Proyeccion de formatos</t>
  </si>
  <si>
    <t xml:space="preserve">Se informó en oficio 4-55.6/108 del 31/01/2025 lo siguiente:
8. PA-GA-5-FOR-50 Certificado para Pago Profesor Invitado V2 (Pendiente formalización en LVMEN)
5. PA-GA-5-FOR-49 Lista de chequeo Reconocimiento y Pago Profesores Invitados V2
9. Correo finaciera - Lista de chequeo para el reconocimiento y pago de honorarios a profesores invitados, pendientes de formalización en la plataforma LVMEN
Se informa por parte de la VRA:
 • Se decidió suprimir el informe de actividades como requisito para el pago de honorarios. En su lugar, dicho informe deberá permanecer en el área solicitante, ya que será presentado al supervisor, quien solo podrá certificar el cumplimiento de las actividades una vez haya recibido el informe.
Como consecuencia de este cambio, se requiere la actualización tanto del certificado para el pago como de la lista de chequeo, actualización que actualmente se está llevando a cabo.
Se remitio correo electronico a la División de Gestión Financiera, el Tesorero, el Contador y la Jefe de la División, para definir criterios y establecer la nueva lista de chequeo para pagos.
</t>
  </si>
  <si>
    <t xml:space="preserve">En las evidencias:
 PA-GA-5-FOR-50 V2 19/07/2024 formalizados en LVMEN. 
5. PA-GA-5-FOR-49 V2 16/07/2024 Lista de chequeo reconocimiento y pago de profesores invitados, se suprimirá la entrega del informe, para pago, ya que esta contemplado en al Propuesta normativa mediante la cual se deroga la Resolución VRA 548 de 2023,  "Por el cual se deroga la Resolución VRA 548 de 2023 y se establece el procedimiento y requisitos para el reconocimiento de honorarios de los profesores invitados en actividades de docencia en pregrado, posgrado y extensión". 
La OCI recomienda implulsar con  División de Gestión Financiera, el Tesorero, el Contador y la Jefe de la División, los criterios de la lista de chequeo.
</t>
  </si>
  <si>
    <t xml:space="preserve">Efectividad de 78%.
Promedio eficacia y eficienca: 95%
Gestión: 90%, se cuenta con el formato  PA-GA-5-FOR-50 Certificado para Pago Profesor Invitado y PA-GA-5-FOR-49 Lista de chequeo Reconocimiento y Pago Profesores Invitados.
Impacto: 50%, se continuan revisando los formatos para pago de profesores invitados, con ajustes pendientes de formalización. 
La OCI recomienda impulsar los ajustes mencionados por la Vicerrecotría Académica, respecto de la presentación de informes de actividades y certificaciones de pago. </t>
  </si>
  <si>
    <t>Socializar e implementar el formato para la certificación de las actividades realizadas por los profesores invitados y presentación del informe de actividades</t>
  </si>
  <si>
    <t>Socialización realizada</t>
  </si>
  <si>
    <t>Soporte de socilización por correo electrónico</t>
  </si>
  <si>
    <t xml:space="preserve">Se informó en oficio 4-55.6/108 del 31/01/2025 lo siguiente:
8. PA-GA-5-FOR-50 Certificado para Pago Profesor Invitado V2 (Pendiente formalización en LVMEN)
10. Ejemplo de requerimientos realizados para la aplicación del FOR 50
</t>
  </si>
  <si>
    <t xml:space="preserve">En las evidencias:
Se verificó en la plataforma de LVMEN el certificado  PA-GA-5-FOR-50 V2 19/07/2024 y un correo enviado a comunicaciones  para ser enviado como correo masivo. 
La OCI recomienda que lassocializaciones sean permanentes.
</t>
  </si>
  <si>
    <t>Efectivida de 100%
Se realizaron socializaciones, las que la OCI recomienda realizar permanentemente, incluyendo los nuevos ajustes.</t>
  </si>
  <si>
    <t>Para la Vicerrectoría Académica, Vicerrectoría Administrativa y Dependencias solicitantes, no se evidencia la definición de criterios unificados para la custodia de los soportes físicos de las solicitudes realizadas para profesores invitados, por lo que no se encontró todos los documentos requeridos para el reconocimiento de honorarios en ninguna de las dependencias mencionadas.</t>
  </si>
  <si>
    <t>En cuanto a lo competente a la Vicerrectoría Académica, en la norma que regula el procedimeitno no se han definido criterios para  para la custodia de la documnetación relacionada con el procedimiento de profesor invitado.</t>
  </si>
  <si>
    <t>Definir criterios para la custodia de los tipos documentales resultantes de la aplicación del procedimiento para las Dependencias Solicitantes, Vicerrectoría Académica y Vicerrectoría Administrativa, en las etapas de solicitud, reconocimiento y pago.</t>
  </si>
  <si>
    <t>Incluir en la reforma de la resolución VRA 548 de 2023,  criterios para la custodia de la documentación.</t>
  </si>
  <si>
    <t>Proyección realizada</t>
  </si>
  <si>
    <t>Se informó en oficio 4-55.6/108 del 31/01/2025 lo siguiente:
3. Propuesta normativa mediante la cual se deroga la Resolución VRA 548 de 2023,  "Por el cual se deroga la Resolución VRA 548 de 2023 y se establece el procedimiento y requisitos para el reconocimiento de honorarios de los profesores invitados en actividades de docencia en pregrado, posgrado y extensión".</t>
  </si>
  <si>
    <t xml:space="preserve">En las evidencias:
• ARTÍCULO SEGUNDO. Del procedimiento para el reconocimiento de honorarios a profesores invitados en programas de pregrado, numeral 9. La División de Gestión Financiera remitirá el registro de disponibilidad presupuestal - RDP a la Decanatura, junto con copia original del acto administrativo, la solicitud y anexos.  La Decanatura hará entrega de dicha documentación al respectivo Departamento para que sean archivados.  
• ARTÍCULO TERCERO. Del procedimiento para actividades de docencia en programas de posgrado, numeral 8. La División de Gestión Financiera remitirá el registro de disponibilidad presupuestal - RDP a la coordinación, junto con copia original del acto administrativo, la solicitud y anexos, para que sean archivados. 
• ARTÍCULO CUARTO. Del procedimiento para actividades de extensión,  numeral 8. La División de Gestión Financiera remitirá el certificado de disponibilidad presupuestal-CDP y el registro de disponibilidad presupuestal-RDP a la vicerrectoría o su dependencias, Consejo de Facultad, decanatura, director de centro y unidad académica o coordinador del evento académico, según corresponda, para que sean archivados. 
Se establece de quien debe ser la custodia de los documentos generados en el procedimiento. </t>
  </si>
  <si>
    <t>Efectividad 73%
Promedio eficacia y eficiencia de 95%
Gestión 100%, se cuenta con la propuesta de ajuste al acto administrativo que regula el procedimiento de reconocimiento de honorarios de profesores inivitados, incluye criterios para  la custodia de información.
Impacto: 25%, se encuentra pendiente la revisión y aprobación del acto administrativo.
Se recomienda impulsar con el área de gestión documental los criterios para la custodia de información del procedimiento de reconocimiento de honorarios de profesores invitados.</t>
  </si>
  <si>
    <t>Se encontró inadecuada aplicación de las normas de gestión documental, por cuanto, en los archivos de gestión revisados presentan material metálico, anotaciones con lapicero y lápiz, documentos doblados, inadecuada perfilación de los tipos documentales y legajos que superan los folios permitidos, sin rotulación, y sin índice de legajo.</t>
  </si>
  <si>
    <t xml:space="preserve">
Socializar los criterios para la custodia de la documentación referente al procedimiento de profesor invitado</t>
  </si>
  <si>
    <t xml:space="preserve">Criterios Socializados </t>
  </si>
  <si>
    <t xml:space="preserve">Se informó en oficio 4-55.6/108 del 31/01/2025 lo siguiente:
La socilización de los procedimientos se realizará una vez sea publicada la normativa </t>
  </si>
  <si>
    <t>En la implementación del procedimiento no se consideró un periodo de transición, que afecto los criterios de planificación y cronogramas de las dependencias solicitantes. De otra parte, algunas dependencias solicitantes manifestaron que no se realizó una adecuada socialización del procedimiento y la normatividad aplicable para el reconocimiento de honorarios de profesor invitado.</t>
  </si>
  <si>
    <t>Falta de establecer periodos de transición y socilización por la necesidad de atender solicitudes de profesores invitados que iniciaban actividades en los días proximos a la implementación de la norma de profesores invitados</t>
  </si>
  <si>
    <t>Definición de fechas para inicio de vigencia de la nueva reforma de la VRA 548 de 2023 y realización de capacitaciones previas al inicio de la vigencia normativa.</t>
  </si>
  <si>
    <t>Incluir en la reforma de la resolución VRA 548 de 2023, donde se definen fechas de vigencia para la transitoriedad.</t>
  </si>
  <si>
    <t>Se informó en oficio 4-55.6/108 del 31/01/2025 lo siguiente:
En la propuesta normativa mediante la cual se deroga la Resolución VRA 548 de 2023, se ha establecido que tendra una aplicación 8 días posterior a su publicacion .</t>
  </si>
  <si>
    <t>Se recomienda establecer los tiempos para su socialización sin generar traumatismos a las dependencias.</t>
  </si>
  <si>
    <t>División Tecnologías de la Información y la Comunicación</t>
  </si>
  <si>
    <t>INFORME N° 2.6-27.13/16 DE 2024 EVALUACIÓN Y SEGUIMIENTO AL PLAN ESTRATÉGICO DE TECNOLOGÍAS DE LA INFORMACIÓN PETI
UNIVERSIDAD DEL CAUCA 2023 - 2027</t>
  </si>
  <si>
    <t xml:space="preserve">
a) Deficiencias en la herramienta de control y seguimiento aplicada por la División de TIC, debido a que carece de elementos o variables suficientes que permitan el control efectivo al avance en la implementación del PETI 2023 – 2027. Igualmente, la información se presenta de manera desactualizada e incompleta que dificulta su consulta e interpretación.</t>
  </si>
  <si>
    <t>Debilidad en la herramienta para evidenciar el alcance a la formulación de iniciativas y su ejecución</t>
  </si>
  <si>
    <t>Actualizar el formato hoja de ruta que evidencia la trazabilidad de las iniciativas del PETI</t>
  </si>
  <si>
    <t>Realizar mesas de trabajo para la actualización del formato hoja de ruta que permita el control efectivo de las iniciativas del PETI</t>
  </si>
  <si>
    <t xml:space="preserve">
Mesas de trabajo realizadas</t>
  </si>
  <si>
    <t>Profesional Especializado</t>
  </si>
  <si>
    <t>Para el seguimiento para el corte 2024, la División de Tecnología de la Información y comunicaciones TIC,  mediante oficio 5.3-55.6/060 del 30/01/2025, presenta:
Acta No 5.3.3/112 del 16/09/2024, asunto mesas técnicas 4-PETI.</t>
  </si>
  <si>
    <t>Se evidencia acta de reunión donde se toman decisiones en cuanto a modificaciones y/o ajustes a las iniciativas adoptadas en el plan estratégico PETI, sin embargo, carecen de decisiones respecto a la modificación del formato "Hoja de Ruta".
Por lo anterior se asigna un avance del 90%, al veriificar el cumplimiento del indicador, respecto a las mesas de trabajo.</t>
  </si>
  <si>
    <t>Análizar y definir del formato hoja de ruta que permite gestionar y controlar las iniciativas del PETI</t>
  </si>
  <si>
    <t>Documento de nuevos indicadores establecidos</t>
  </si>
  <si>
    <t>Para el seguimiento para el corte 2024, la División de Tecnología de la Información y comunicaciones TIC,  mediante oficio 5.3-55.6/060 del 30/01/2025, presenta:
Documento en formato excel denominado "Hoja de Ruta v2".</t>
  </si>
  <si>
    <t>El formato excel contiene: iniciativas, actividades para su realización, descripción, fecha de inicio, fecha de finalización, duración en meses y responsables; esto evidencia la definición de un nuevo formato de hoja de ruta.
La OCI asigna un avance del 90% debido a que el documento "hoja de ruta" no contempla datos principales como pueden ser: nombre, fecha de realización, objetivo. 
Se sugiere que se realice una descripción general de la hoja de ruta.</t>
  </si>
  <si>
    <t>Socializar e implementar el formato que evidencia las iniciativas y el control a las mismas</t>
  </si>
  <si>
    <t xml:space="preserve">
Formato socializado e implementado</t>
  </si>
  <si>
    <t>Actas de reunión para socialización</t>
  </si>
  <si>
    <t>Para el seguimiento para el corte 2024, la División de Tecnología de la Información y comunicaciones TIC,  mediante oficio 5.3-55.6/060 del 30/01/2025, presenta:
Acta No 5.3.3/183 del 18/12/2024 asunto entrega documentación PETI</t>
  </si>
  <si>
    <t>Se asigna un avance del 20% debido a que con la evidencia presentada no constata la socialización de la hoja de ruta.</t>
  </si>
  <si>
    <t>b)        Incumplimiento de las metas programadas para la vigencia, registradas en el catálogo de iniciativas de planes de la Política de Gobierno Digital, dado que no alcanzaron el 100% de avance.</t>
  </si>
  <si>
    <t>Inadecuada formulación del alcance a las iniciativas programadas en el catálogo.</t>
  </si>
  <si>
    <t>Formular y/o actualizar las iniciativas</t>
  </si>
  <si>
    <t xml:space="preserve">Realizar mesas de trabajo para la formulación y/o actualización de las iniciativas </t>
  </si>
  <si>
    <t xml:space="preserve">Profesional Especializado </t>
  </si>
  <si>
    <t>Actas de reunión de mesas de trabajo</t>
  </si>
  <si>
    <t xml:space="preserve">Para el seguimiento para el corte 2024, la División de Tecnología de la Información y comunicaciones TIC,  mediante oficio 5.3-55.6/060 del 30/01/2025, presenta:
Acta No 5.3.3/164 del 13/11/2024 Plan de mejoramiento PETI (contextualización de las 41 iniciativas)
</t>
  </si>
  <si>
    <t>Se evidencia acta de reunión donde se toman decisiones en cuanto a modificaciones y/o ajustes a las iniciativas adoptadas en el plan estratégico PETI.
Por lo anterior se asigna un avance del 100%, al veriificar el cumplimiento del indicador, respecto a las mesas de trabajo.</t>
  </si>
  <si>
    <t xml:space="preserve">Analizar y definir las iniciativas </t>
  </si>
  <si>
    <t>Iniciativas establecidas</t>
  </si>
  <si>
    <t>Documento de nuevas iniciativas establecidas</t>
  </si>
  <si>
    <t>Para el seguimiento para el corte 2024, la División de Tecnología de la Información y comunicaciones TIC,  mediante oficio 5.3-55.6/060 del 30/01/2025, presenta:
Documento en formato excel denominado "Hoja de Ruta v2".
Acta No 5.3.3/166 del 14/11/2024 Plan de mejoramiento PETI (contextualización de la depuración de iniciativas).</t>
  </si>
  <si>
    <t>Las evidencia presentadas reflejan el analisis y definición de la modificación y/o ajustes a las iniciativas
La OCI asigna un avance del 90% debido a que el documento "hoja de ruta" no contempla datos principales como pueden ser: nombre, fecha de realización, objetivo. 
Se sugiere que se realice una descripción general de la hoja de ruta.</t>
  </si>
  <si>
    <t>Socializar las iniciativas</t>
  </si>
  <si>
    <t>Iniciativas socializadas</t>
  </si>
  <si>
    <t>Para el seguimiento para el corte 2024, la División de Tecnología de la Información y comunicaciones TIC,  mediante oficio 5.3-55.6/060 del 30/01/2025, presenta:
Acta No 5.3.3/166 del 14/11/2024 Plan de mejoramiento PETI (contextualización de la depuración de iniciativas).</t>
  </si>
  <si>
    <t>Se evidencia que se realizó contextualización y depuración de iniciativas a los lideres de los procesos de las TIC, sin embargo el acta no es clara en cuanto a la socialización de las iniciativas en su totalidad.
La OCI asigna un avance del 50%, sugiriendo que se continue con la socialización.</t>
  </si>
  <si>
    <t>c)        Debilidades en la información reportada por la División de TIC, por cuanto no responde a ciertas características, de exactitud y comparación que permita un análisis claro y efectivo.</t>
  </si>
  <si>
    <t>Deficiencias en el segimiento de la información reportada con la publicada</t>
  </si>
  <si>
    <t>Realizar seguimiento a la información reportada a la OPDI, con el fin de que sea coherente con la información publicada</t>
  </si>
  <si>
    <t>Verificar la correcta publicación de la información</t>
  </si>
  <si>
    <t>Información publicada correctamente</t>
  </si>
  <si>
    <t>Registros de verificación</t>
  </si>
  <si>
    <t xml:space="preserve">Sin evidencias </t>
  </si>
  <si>
    <t xml:space="preserve">    
d) Inexistencia de seguimiento a los indicadores definidos para evaluar y monitorear la gestión de la División de TIC, los que están determinados en el documento del PETI 2023 – 2027</t>
  </si>
  <si>
    <t>Debilidades en la estructuración de los indicadores que permitan evaluar y monitorear la gestión de la División de TIC</t>
  </si>
  <si>
    <t>Gestionar mediante el comité interno el seguimiento y análisis de los indicadores que permita determinar el avance en la gestión de la División de TIC´s.</t>
  </si>
  <si>
    <t>Crear el Comité Interno de Evalución de Indicadores.</t>
  </si>
  <si>
    <t>Comité Interno de Evaluación de indicadores creado.</t>
  </si>
  <si>
    <t>Acta de creación del comité</t>
  </si>
  <si>
    <t>Para el seguimiento para el corte 2024, la División de Tecnología de la Información y comunicaciones TIC,  mediante oficio 5.3-55.6/060 del 30/01/2025, presenta:
Acta No 5.3.3/74 del 9/07/2024 tema conformación del Comité Interno Evaluación de Indicadores-División TIC.</t>
  </si>
  <si>
    <t>Se crea el Comité Interno de Evalaución de Indicadores de la División de Tecnologías de la Información y las Comunicaciones, cumpliendo asi con el indicador establecido para actividad, por lo tanto se asigna un avance del 100%</t>
  </si>
  <si>
    <t>Eficacia y eficiencia del 100%: Se cumple con la actividad en los tiempos establecidos.
Gestión e Impacto 100%: la Evidencia presentada muestra la conformación del Comité.
Efectividad: 100%</t>
  </si>
  <si>
    <t>Identificar los indicadores</t>
  </si>
  <si>
    <t>Indicadores identificados</t>
  </si>
  <si>
    <t>Registro de indicadores identificados</t>
  </si>
  <si>
    <t xml:space="preserve">Para el seguimiento para el corte 2024, la División de Tecnología de la Información y comunicaciones TIC,  mediante oficio 5.3-55.6/060 del 30/01/2025, presenta:
Acta No 5.3.3/110 del 11/09/2024 tema continuación plan de mejoramiento PETI e Indicadores-División TIC.
</t>
  </si>
  <si>
    <t>En el desarrollo de la reunion se revisan los indicadores si se suprimen de acuerdo a las politicas del Furag y Politica de Gobierno digital, se suprimen los indicadores 2,10 y 12, ya que estas son operativos y no de gestión, quedaran 11 indicadores.
Se asigna avance del 100%</t>
  </si>
  <si>
    <t>Eficacia y eficiencia del 100%: Se cumple con la actividad en los tiempos establecidos.
Gestión e Impacto 100%: Se definen indicadores.
Efectividad: 100%</t>
  </si>
  <si>
    <t>Diligenciar los indicadores definidos mediante la “Ficha de Indicadores PE.GE-2.4 FOR -50”.</t>
  </si>
  <si>
    <t>Fichas para indicadores de TI diligenciadas</t>
  </si>
  <si>
    <t xml:space="preserve">Fichas diligenciadas </t>
  </si>
  <si>
    <t xml:space="preserve">Para el seguimiento para el corte 2024, la División de Tecnología de la Información y comunicaciones TIC,  mediante oficio 5.3-55.6/060 del 30/01/2025, presenta:
Archivo en formato Excel denominado "D - 3 Ficha de Indicadores PE.GE-2.4 FOR -50", donde se encuentra diligenciada 11 hojas con la ficha técnica de indicadores (1 hoja para cada indicador definido), así:
Tasa de Resolución de Casos, Porcentaje medido de solicitudes e incidentes, resueltas a tiempo (SLA cumplidos), Indice de satisfacción del usuario con mesa de servicios, Porcentaje de Cumplimiento normativo TI,Porcentaje de proyectos estratégicos completados, Indice de avance de proyectos TIC, Porcentaje de ejecución presupuestal TIC, Tasa de cumplimiento de Requerimientos, Porcentaje de Disponibilidad del servicio de internet, Porcentaje de cobertura de servicios de Red, Porcentaje de Disponibilidad de servicios y servidores Críticos.
</t>
  </si>
  <si>
    <t>Se asigna un avance del 100% al evidenciar el diligenciamiento de las Fichas de Indicadores, formato PE.GE-2.4 FOR -50”, V2 del 23/02/2024</t>
  </si>
  <si>
    <t>Eficacia y eficiencia del 100%: Se cumple con la actividad en los tiempos establecidos.
Gestión e Impacto 100%: Se definen los indicadores para evidenciar el avance en la gestión de TIC, y se diligencian las fichas correspondientes.
Efectividad: 100%</t>
  </si>
  <si>
    <t>Evaluar y monitorear los indicadores definiidos</t>
  </si>
  <si>
    <t>Indicadores monitoreados</t>
  </si>
  <si>
    <t>Registros del monitoreo</t>
  </si>
  <si>
    <t>e) Debilidades en la documentación de los procedimientos del proceso Gestión de recursos tecnológicos, lo que dificulta conocer su operación.</t>
  </si>
  <si>
    <t>Falta de gestión para la actualización de los procedimientos del proceso Gestión de Recursos Tecnológicos</t>
  </si>
  <si>
    <t>Gestionar la actualización de los procedimientos de la División TIC</t>
  </si>
  <si>
    <t>Realizar mesas de trabajo para la actualización de los procedimientos de la División TIC</t>
  </si>
  <si>
    <t>Actas de reunión</t>
  </si>
  <si>
    <t>Para el seguimiento para el corte 2024, la División de Tecnología de la Información y comunicaciones TIC,  mediante oficio 5.3-55.6/060 del 30/01/2025, presenta:
Actas general para actividades Universitarias PE-GS-2.2.1-FOR-22 Versión 1 11/03/2019. No 5.3-3.6/002 28/05/2024, No 5.3-3.6/003 13/06/2024, No 5.3-3.6/004 14/06/2024, No 5.3-3.6/005 24/06/2024, No 5.3-3.6/006 27/06/2024, No 5.3-3.6/0095 03/07/2024, No 5.3-3.6/008 04/07/2024, No 5.3-3.6/009 05/07/2024, No 5.3-3.6/010 08/07/2024, No 5.3-3.6/011 11/07/2024, No 5.3-3.6/024 30/09/2024, No 5.3-3.6/025 01/10/2024, No 5.3-3.6/026 02/10/2024, No 5.3-3.6/037 05/11/2024, No 5.3-3.6/038 07/11/2024, cada una de ellas con su respectivo listado de asistencia.</t>
  </si>
  <si>
    <t>Las actas evidencian la realización de mesas de trabajo con el objetivo de la actualización de los procedimientos de la División TICs, por lo tantos se asigna un avance del 100%.</t>
  </si>
  <si>
    <t>Eficacia y eficiencia del 100%: Se cumple con la actividad en los tiempos establecidos.
Gestión e Impacto 100%: Se evidencia la realización de mesas de trabajo con el objetivo de la actualización de los procedimientos de la División TICs
Efectividad: 100%</t>
  </si>
  <si>
    <t>Actualizar los procedimientos de la División TIC</t>
  </si>
  <si>
    <t>Procedimientos actualizados en LVMEN</t>
  </si>
  <si>
    <t>Procedimientos actualizados</t>
  </si>
  <si>
    <t>Para el seguimiento para el corte 2024, la División de Tecnología de la Información y comunicaciones TIC,  mediante oficio 5.3-55.6/060 del 30/01/2025, presenta:
Docuemntos PDF que quienen los modelado de los siguiente procedimientos:
PA-GA-5.3-PR-4 Atención a los Servicios TIC
PA-GA-5.3-PR-10 Capacitación en Uso y Apropiación Tecnológica
PA-GA-5.3-PR-18 Carnetización
PE-GS-2.2.1-FOR-1 Solicitud de Creación Modificación o Baja de Documentos Radicada</t>
  </si>
  <si>
    <t>Se presentan 3 procedimientos actualizados (MODELOS BPMN) de los 17 establecidos en la Unidad de medida, los cuales no se evidenció la publicación en el programa Lvmen, por lo tanto se asigna un avance del 15%.</t>
  </si>
  <si>
    <t>Socializar los procedimientos actualizados de la División TIC</t>
  </si>
  <si>
    <t>Procedimientos socializados</t>
  </si>
  <si>
    <t>Sin evidencia para el periodo</t>
  </si>
  <si>
    <t>Implementar los procedimientos</t>
  </si>
  <si>
    <t>Procedimientos implementados</t>
  </si>
  <si>
    <t>Registros de implementación de los procedimientos en la División TIC</t>
  </si>
  <si>
    <t>f) Debilidades en la supervisión de los contratos de prestación de servicios en cuanto a la presentación de los informes del personal contratado por la división de TIC, algunos relacionan actividades de manera general, que no detallan lo realizado durante el periodo reconocido y sin evidencias de lo descrito en él, y que permitan dejar una trazabilidad de las actividades ejecutadas que den cuenta de la obligación contractual establecida.</t>
  </si>
  <si>
    <t>Debilidades en los controles de la supervisión de contratos por falta de capacitación</t>
  </si>
  <si>
    <t>Fortalecer los procesos de supervisión de contratos.</t>
  </si>
  <si>
    <t xml:space="preserve">Solicitar mediante comunicación formal a la Vicerrectoría Administrativa capacitación para la supervisión de contratos. </t>
  </si>
  <si>
    <t>Solicitud de Capacitación radicada</t>
  </si>
  <si>
    <t>Profesional Universitario</t>
  </si>
  <si>
    <t xml:space="preserve">Oficio de solicitud de capacitaciones </t>
  </si>
  <si>
    <t>Para el seguimiento para el corte 2024, la División de Tecnología de la Información y comunicaciones TIC,  mediante oficio 5.3-55.6/060 del 30/01/2025, presenta:
La Vicerrectoría Administrativa generó una capacitación para la supervisión de contratos.
Informe de capacitación en Habilidades para la supervisión contractual en el contexto a la autonomía Univesitaria,de Vicerrectoria Administrativa, fechas 23 y 30 de octubre 2024 y 6 de noviembre 2024. (Objetivo orientar a los participantes la información relacionada con las actividades propias del ejercicio de supervición contractual de lo público..).</t>
  </si>
  <si>
    <t>En la evidencia presentada se observa que la Vicerrectoria Administrativa, realizo invitación a jornada de capacitación en supervisión de contratos, no se evidencia que desde la División de las TICS, se haya gestionado dicha capacitación. Por lo tanto se asigna un avance del 90%.</t>
  </si>
  <si>
    <t>Eficacia y eficiencia del 95%: Se cumple con la actividad en los tiempos establecidos.
Gestión e Impacto 80%: Se evidencia parcialmente la gestión por parte de la División TICs
Efectividad: 85%</t>
  </si>
  <si>
    <t>Capacitar a los supervisores de contratos</t>
  </si>
  <si>
    <t>Registros de capacitaciones</t>
  </si>
  <si>
    <t xml:space="preserve">Para el seguimiento para el corte 2024, la División de Tecnología de la Información y comunicaciones TIC,  mediante oficio 5.3-55.6/060 del 30/01/2025, presenta:
Informe de capacitación en Habilidades para la supervisión contractual en el contexto a la autonomía Univesitaria,de Vicerrectoria Administrativa, fechas 23 y 30 de octubre 2024 y 6 de noviembre 2024. (Objetivo orientar a los participantes la información relacionada con las actividades propias del ejercicio de supervición contractual de lo público..). Con sus respectivos listados de asistencia.
</t>
  </si>
  <si>
    <t>La Vicerrectoría Administrativa realizó capacitación para la supervisión de contratos, proporcionando las herramientas y conocimientos necesarios para su correcta supervisión.
Se asigna un avance del 90%, en espera que la División continue con la capacitación de sus funcionarios</t>
  </si>
  <si>
    <t>Eficacia y eficiencia del 95%: Se cumple con la actividad en los tiempos establecidos.
Gestión e Impacto 80%: Se evidencia la capacitación de supervisores
Efectividad: 91.67%</t>
  </si>
  <si>
    <t>Implementar los procedimientos normativos para la supervisión de contratos</t>
  </si>
  <si>
    <t>Contratos supervisados</t>
  </si>
  <si>
    <t>Registros de supervisión</t>
  </si>
  <si>
    <t>g) Debilidades en el seguimiento y control de los recursos económicos con posible afectación en su ejecución presupuestal.</t>
  </si>
  <si>
    <t>Debilidad en el control de la ejecución presupuestal  de la División TIC</t>
  </si>
  <si>
    <t>Gestionar correctamente la información de ejecución presupuestal de todas las vigencias</t>
  </si>
  <si>
    <t xml:space="preserve">Analizar y organizar  mediante un instrumento la información presupuestal </t>
  </si>
  <si>
    <t>Información analizada y organizada</t>
  </si>
  <si>
    <t>Instrumento de seguimiento presupuestal</t>
  </si>
  <si>
    <t>h) Inadecuada aplicación de las normas de gestión documental, debido a que en el archivo de gestión se evidenciaron legajos con tipos documentales con presencia de material metálico, anotaciones con lápiz, perforación incorrecta de los tipos documentales, sin rotulación e índice de legajo de la vigencia 2023. Igualmente se evidenció inaplicación de la tabla de retención documental – TRD, dispersión del archivo de gestión.</t>
  </si>
  <si>
    <t>Debilidad en la correcta aplicación de la Gestión Archivistica</t>
  </si>
  <si>
    <t xml:space="preserve">Gestionar la correcta apliación de los instrumentos archivísticos </t>
  </si>
  <si>
    <t xml:space="preserve">Solicitar capacitaciones de actualización al Área de archivo </t>
  </si>
  <si>
    <t>Actualizar las Tablas de Retención Documental de la División TIC.</t>
  </si>
  <si>
    <t>Tablas de retención Documental actualizadas</t>
  </si>
  <si>
    <t>Secretaria ejecutiva</t>
  </si>
  <si>
    <t>TRD actualizadas</t>
  </si>
  <si>
    <t>Organizar el archivo de gestión documental de la División TIC</t>
  </si>
  <si>
    <t>Archivo de gestión organizado</t>
  </si>
  <si>
    <t xml:space="preserve">i) Sin evidencia de un plan de mejora que establezca acciones tendientes a fortalecer los componentes de la Política de Gobierno Digital, por la división de TIC, como resultado de la evaluación realizada a este componente a través del FURAG, en lo relativo a índices con puntajes iguales a 0 e inferiores a 35. </t>
  </si>
  <si>
    <t>Falta de un Plan de Mejora que permita fortalecer los componentes de la política de Gobierno Digital</t>
  </si>
  <si>
    <t>Realizar un Plan de Mejora para Fortalecer la política de Gobierno Digital a través del habilitador de Seguridad y Privacidad de la Información</t>
  </si>
  <si>
    <t>Realizar mesas de trabajo para elaborar el Plan de Mejora</t>
  </si>
  <si>
    <t>Registros de reunión</t>
  </si>
  <si>
    <t>Realizar el Plan de Mejoramiento</t>
  </si>
  <si>
    <t>Plan de mejoramiento realizado</t>
  </si>
  <si>
    <t>Plan de mejoramiento</t>
  </si>
  <si>
    <t>Implementar el Plan de Mejoramiento</t>
  </si>
  <si>
    <t>Plan de mejoramiento implementado</t>
  </si>
  <si>
    <r>
      <t xml:space="preserve">j) Inexistencia de un plan de capacitación estructurado que </t>
    </r>
    <r>
      <rPr>
        <sz val="12"/>
        <rFont val="Arial Narrow"/>
        <family val="2"/>
      </rPr>
      <t xml:space="preserve">de </t>
    </r>
    <r>
      <rPr>
        <sz val="12"/>
        <color rgb="FF000000"/>
        <rFont val="Arial Narrow"/>
        <family val="2"/>
      </rPr>
      <t>cumplimiento a la iniciativa sobre incorporación de las TIC en las prácticas diarias, atendiendo las fases de sensibilización, diagnóstico, análisis de competencias de acuerdo con el nivel de formación de los servidores públicos de la Universidad, diseño del plan, socialización y evaluación del impacto del plan.</t>
    </r>
  </si>
  <si>
    <t>Falta de una herramienta que visibilice la planeación de actividades tendientes a la incorporación de las TIC en el quehacer diario de los universitarios</t>
  </si>
  <si>
    <t>Elaborar el plan de capacitación de acuerdo con las necesidades de la comunidad universitaria</t>
  </si>
  <si>
    <t>Realizar un diagnóstico que permita identificar las necesidades de capacitación en TICs de la comunidad universitaria</t>
  </si>
  <si>
    <t xml:space="preserve">
Diagnóstico realizado</t>
  </si>
  <si>
    <t>Documento del diagnóstico</t>
  </si>
  <si>
    <t>Formular y aprobar el plan de capacitación</t>
  </si>
  <si>
    <t>Plan de capacitación formulado y aprobado</t>
  </si>
  <si>
    <t>Documento del plan de Capacitación</t>
  </si>
  <si>
    <t>Socializar el Plan de Capacitación</t>
  </si>
  <si>
    <t>Plan de capacitación socializado</t>
  </si>
  <si>
    <t>Implementar Plan de Capacitación</t>
  </si>
  <si>
    <t>Registros de asistencias</t>
  </si>
  <si>
    <t>Realizar seguimiento de la ejecución del plan</t>
  </si>
  <si>
    <t>Seguimiento a la ejecución del plan realizado</t>
  </si>
  <si>
    <t>Registro de seguimiento</t>
  </si>
  <si>
    <t>k) Carencia de una herramienta que facilite evaluar el impacto del trabajo realizado por el estudiante y verificar el cumplimiento de la iniciativa cuyo propósito es favorecer el desarrollo de una cultura digital.</t>
  </si>
  <si>
    <t>Falta construir el procedimiento de pasantias y practicas profesionales de los estudiantes en la División TIC</t>
  </si>
  <si>
    <t>Construir un procedimiento que permita evaluar el impacto de trabajo realizado por el estudiante.</t>
  </si>
  <si>
    <t>Gestionar mesas de trabajo para la construcción del procedimiento</t>
  </si>
  <si>
    <t>Establecer formalmente el procedimiento.</t>
  </si>
  <si>
    <t>Procedimiento establecido</t>
  </si>
  <si>
    <t>Documento del Procedimiento</t>
  </si>
  <si>
    <t>Socializar el procedimiento</t>
  </si>
  <si>
    <t>procedimiento socializado</t>
  </si>
  <si>
    <t>Implementar el procedimiento</t>
  </si>
  <si>
    <t>procedimiento implementado</t>
  </si>
  <si>
    <t xml:space="preserve"> l) Debilidades en la racionalización de trámites debido a que las mejoras obedecieron a la actualización de procedimientos, teniendo en cuenta que la iniciativa busca facilitar a los ciudadanos su interacción con las entidades públicas y optimizar la labor del Estado, por lo que se hace necesario revisar la redacción del alcance de la iniciativa propuesta en este componente.</t>
  </si>
  <si>
    <t>Inadecuada formulación de la iniciativa en la racionalización y estandarización de trámites</t>
  </si>
  <si>
    <t>Formular y/o actualizar la iniciativa</t>
  </si>
  <si>
    <t>Gestionar mesas de trabajo entre las dependencias involucradas</t>
  </si>
  <si>
    <t>Para el seguimiento para el corte 2024, la División de Tecnología de la Información y comunicaciones TIC,  mediante oficio 5.3-55.6/060 del 30/01/2025, presenta:
Acta de reunión No 2.4-3.58/100 17/09/2024, No 2.4-3.58/116 04/10/2024, No 2.4-3.58/124 30/10/2024, No 5.3-3/125  25/09/2024, No 2.4-3.58/134 19/11/2024, No 2.4-3.58/139 29/11/2024, 2.4-3.58/167 11/11/2024, cada una con su registro de asistencia.</t>
  </si>
  <si>
    <t>Se evidencia la realización de mesas de trabajo con direfentes dependencias de la Unviersiadad con el fin de actualizar y/o modificar procedimientos, mas no se evidencia la modificación, ajuste y/o formuación de la iniciativa correspondiente a Racionalización de Tramites. 
Se asigna el 50% de avance.</t>
  </si>
  <si>
    <t>Apoyar el análisis y la definición de los trámites a racionalizar</t>
  </si>
  <si>
    <t>Trámites analizados y definidos</t>
  </si>
  <si>
    <t>Registros de trámites definidos</t>
  </si>
  <si>
    <t>Socializar los trámites definidos con las dependencias involucradas</t>
  </si>
  <si>
    <t>Trámites socializados</t>
  </si>
  <si>
    <t xml:space="preserve">Gestionar los procesos para la racionalización del trámite </t>
  </si>
  <si>
    <t>Procesos gestionados</t>
  </si>
  <si>
    <t>Registros de los trámites racionalizados</t>
  </si>
  <si>
    <t>m) Sin evidencia de la optimización y estandarización de los procesos institucionales para habilitar la mejora continua y compra de los sistemas de información usados por la Universidad; el avance reportado se basa en la actualización de los procedimientos, actividad que debe estar bajo la responsabilidad del líder de cada proceso y del Centro de Gestión de la Calidad y de la Acreditación Institucional.</t>
  </si>
  <si>
    <t xml:space="preserve">Definición inadecuada del alcance para la iniciativa optimización y estandarización de los procesos institucionales </t>
  </si>
  <si>
    <t xml:space="preserve">Reestructurar el alcance de la iniciativa optimización y estandarización de los procesos institucionales </t>
  </si>
  <si>
    <t xml:space="preserve">Realizar mesas de trabajo para reestructurar el  alcance de la iniciativa optimización y estandarización de los procesos institucionales </t>
  </si>
  <si>
    <t xml:space="preserve">Definir el alcance de la iniciativa optimización y estandarización de los procesos institucionales </t>
  </si>
  <si>
    <t>Iniciativas reestructuradas</t>
  </si>
  <si>
    <t>Documento reestructuración de la iniciativa</t>
  </si>
  <si>
    <t>Monitorear  la inicitiva optimización y estandarización de los procesos institucionales, con su nuevo alcance</t>
  </si>
  <si>
    <t>Iniciativa monitoreada</t>
  </si>
  <si>
    <t>Registros de monitoreo de la iniciativa</t>
  </si>
  <si>
    <t>n) Sin evidencia de los registros de la identificación de los datos a publicar por la Universidad en el portal de Datos abiertos y en su portal web, lo que genera incumplimiento del objetivo para la iniciativa planteada.</t>
  </si>
  <si>
    <t>Falta de un plan que integre a las dependencias resposables del procesos de identificación y publicación de Datos Abiertos</t>
  </si>
  <si>
    <t>Apoyo en la identificación de los datos abiertos a publicar y su publicación en el portal web</t>
  </si>
  <si>
    <r>
      <t>Realizar</t>
    </r>
    <r>
      <rPr>
        <sz val="12"/>
        <color rgb="FF000000"/>
        <rFont val="Arial Narrow"/>
        <family val="2"/>
      </rPr>
      <t xml:space="preserve"> mesas de trabajo entre la Oficina de Planeación y Desarrollo Institucional y la Divisón TIC </t>
    </r>
  </si>
  <si>
    <t>Mesas de trabajo realizadas  entre la OPDI y la División TIC</t>
  </si>
  <si>
    <t>Identificar los tipos de datos a publicar</t>
  </si>
  <si>
    <t>Tipos de datos identificados</t>
  </si>
  <si>
    <t>Registro de los datos identificados</t>
  </si>
  <si>
    <t>Definir cronograma de recepción y publicación de los datos abiertos</t>
  </si>
  <si>
    <t>Cronograma de recepción  y publicación establecido</t>
  </si>
  <si>
    <t>Registro del cronograma establecido y publicación de los datos abiertos</t>
  </si>
  <si>
    <t>SEGUIMIENTO PLAN DE MEJORAMIENTO - CONTRALORÍA GENERAL DE LA REPÚBLICA AUDITORÍA VIGENCIA 2019</t>
  </si>
  <si>
    <t>Tipo</t>
  </si>
  <si>
    <t>Descripción de la oportunidad de mejora / hallazgo de no conformidad</t>
  </si>
  <si>
    <t>Causa (s)
(Solo aplica para la no conformidad)</t>
  </si>
  <si>
    <t xml:space="preserve"> Proyecto o Acción</t>
  </si>
  <si>
    <t>Unidad de medida</t>
  </si>
  <si>
    <t>Cantidad de Medida de la Actividad</t>
  </si>
  <si>
    <t>Puntaje de morosidad
(Semanas)</t>
  </si>
  <si>
    <t>Sistema de alerta</t>
  </si>
  <si>
    <t>Puntaje  Logrado  por las Actividades  (PLA)</t>
  </si>
  <si>
    <t xml:space="preserve">Puntaje Logrado por las Actividades  Vencidas (PLAV)  </t>
  </si>
  <si>
    <t>Cierre de la oportunidad de mejora y/o no conformidad</t>
  </si>
  <si>
    <t>Evidencias</t>
  </si>
  <si>
    <t>Conclusiones del Seguimiento</t>
  </si>
  <si>
    <t xml:space="preserve">Responsable </t>
  </si>
  <si>
    <t>Contraloría General de la República</t>
  </si>
  <si>
    <t>Auditoría Externa vigencia 2019</t>
  </si>
  <si>
    <t xml:space="preserve">En el Contrato de comodato N° 5.5.-31.7/002/2018 y el listado de bienes muebles a 31/12/2019, se identifica la entrega de 23 elementos por un costo histórico total de $408.850.443, con deficiencias de información: los Equipos del Código 21001287 y placas 000316 y 000317, se entregaron al Hospital Universitario San José por $4.237.118 cada uno y están registrados en SRF </t>
  </si>
  <si>
    <t>Inaplicación de los controles establecidos para el manejo y supervisión de bienes muebles, y deficiencias en el diseño y aplicación de las políticas contables para activos no generadores de efectivo.</t>
  </si>
  <si>
    <t xml:space="preserve">Establecer  mecanismos que aseguren el   debido control  y cumplimiento de las políticas contables en materia de  activos no generadores de efectivo.
</t>
  </si>
  <si>
    <t>Documentar, socializar y aplicar  el procedimiento  que oriente el ejercicio de seguimiento y  control de los bienes comodato en el marco de las normas contables públicas.</t>
  </si>
  <si>
    <t xml:space="preserve">Procedimiento documentado, socializado  y aplicado </t>
  </si>
  <si>
    <t>I semestre 2024
Con oficio 5.4.5-27.1/010 del 21/06/2024 el Área de Adquisiciones e Inventarios reportó el Procedimiento PA-GA-5.4.5-PR-18 Recepción o entrega de bienes en comodato, publicado en versión 5 el 18/06/2024 en LVMEN
II semestre de 2024
Según oficio 5.4.-55.6/603 del 06/12/2024, el Área de Adquisiciones e Inventarios informa las actividades realizadas durante el II semestre de 2024, entre ellas:
La socialización de la actualización del procedimiento, enviado a través de correo electrónico a los supervisores de los comodatos vigentes.
Igualmente informan que se compartirá a los supervisores de los futuros contratos de comodato que se suscriban.</t>
  </si>
  <si>
    <t xml:space="preserve">Se evidencia la socialización del procedimiento actualizado a los interesados, a través de correo electrónico, tal como lo recomednó la OCI en el seguimiento 2024 - 1.
Se asigna el 100% de avance. </t>
  </si>
  <si>
    <t xml:space="preserve">Profesional Especializado Área Adquisiciones e Inventarios. 
Jefe Oficina Jurídica  </t>
  </si>
  <si>
    <r>
      <rPr>
        <b/>
        <sz val="11"/>
        <color rgb="FF000000"/>
        <rFont val="Arial"/>
        <family val="2"/>
      </rPr>
      <t>Activos Intangibles Regalías (A).</t>
    </r>
    <r>
      <rPr>
        <sz val="11"/>
        <color rgb="FF000000"/>
        <rFont val="Arial"/>
        <family val="2"/>
      </rPr>
      <t xml:space="preserve">
En diciembre 2014 se adquieren licencias a EBSCO INTERNATIONAL, NIT 521231562 con recursos de regalías, para acceder a las bases bibliográficas por el período 2015 y 2019 utilizadas en el Proyecto ID-3848; que según los Libros auxiliares de la "Unidad 04 Sistema General de Regalías" a 31/12/2019 continuaban registradas en la cuenta 19700701 En Bodega por $749.999.999, y sin amortizar.</t>
    </r>
  </si>
  <si>
    <t>Deficiencias en la aplicación y seguimiento de los controles establecidos para el registro, medición y reconocimiento de las licencias y software en el SRF.</t>
  </si>
  <si>
    <t xml:space="preserve">Establecer controles al cumplimiento de procedimientos y políticas contables  en el  registro, medición y reconocimiento de licencias y software.
</t>
  </si>
  <si>
    <t>Conciliar la información del SRF con los bienes intangibles entregados  (Regalías)</t>
  </si>
  <si>
    <t>Registros de conciliación de  activos intangibles (Regalías).</t>
  </si>
  <si>
    <t>En el registro de conciliación a marzo de 2021 se evidencia la reclasificación contable de la cuenta 19700701 (Licencia en bodega) a la cuenta  19700702 (Licencia en uso) , segun reporte  del SRF en la forma ACGA  de los registros de  los movimientos de amortizacion e inventarios, que refleja un saldo de depreciacion cero (0) y el  valor en libros correspondiente al valor residual de $6.575.342,46.
Pasó de 0 a 100%</t>
  </si>
  <si>
    <t xml:space="preserve">Profesional Especializado Área Adquisiciones e Inventarios. 
</t>
  </si>
  <si>
    <r>
      <rPr>
        <b/>
        <sz val="11"/>
        <color rgb="FF000000"/>
        <rFont val="Arial"/>
        <family val="2"/>
      </rPr>
      <t xml:space="preserve">Activos de Cuantía Menor.  (A) </t>
    </r>
    <r>
      <rPr>
        <sz val="11"/>
        <color rgb="FF000000"/>
        <rFont val="Arial"/>
        <family val="2"/>
      </rPr>
      <t xml:space="preserve">
La Universidad al 31/12/2019 tenía registrados en el SRF10.942 bienes en servicio, con un costo actual de $57.186.694.045,89 y "saldos por depreciar" de $34.907.132.029,91, reconocidas en las diferentes cuentas de los grupos 16 (depreciación) y 19 (amortización). 
Sin embargo, existen bienes adquiridos en el 2018 y 2019 cuyo costo era igual o menor a dos SMM, sin depreciar o amortizar  en el mismo periodo contable,  quedando saldos sobrestimados por $436.295.333 en el grupo 16 y $437.649.035 en el grupo 19.</t>
    </r>
  </si>
  <si>
    <t>Inadecuada parametrización y registro de información en el SRF, ausencia del seguimiento y control a la medición posterior de los activos, e inaplicación de políticas contables específicas adoptadas en el Manual de Políticas Contables</t>
  </si>
  <si>
    <t xml:space="preserve">Establecer controles al   SRF para detectar los activos de menor cuantía sin depreciar en el período. 
</t>
  </si>
  <si>
    <t>Gestionar  los ajustes del SRF para la depreciación de  los activos de menor cuantía.</t>
  </si>
  <si>
    <t>Reporte de bienes de menor cuantía  depreciados en el sistema en el período.</t>
  </si>
  <si>
    <t xml:space="preserve">Se ajustó  en el SRF la vida útil y la depreciación de  los activos de menor cuantía, con evidencia de los cambios en los reportes: Orden de compra, entradas de inventario, activación de la depreciación en bodega,  movimiento de salidas, depreciación mensual y depreciación total dentro del periodo contable.
Se adjunta 5 registros con la trazabilidad integral así: orden de compra No. 20200042, entrada No. 20200021 , salida No. 20200088, registro de activacion de depreciacion, generacion de depreciacion mensual Nos. 20200012, 20200013, 20200014  reflejando un saldo de depreciacion cero (0) y un  valor residual de $13566 dentro del mismo periodo contable. 
Pasó de 0 a 100% - El Área de Adquisiciones e Inventarios debe enviar reporte de los bienes depreciados, ya solicitado por la OCI. </t>
  </si>
  <si>
    <t>No hay unidad de criterios para registrar en el SRF la vida útil y el valor residual de los activos intangibles, según la duración de las licencias adquiridas y el Manual de Políticas Contables frente a las revelaciones en las Notas a los Estados Financieros a diciembre de 2019 (Ver Tabla N° 14 del Informe C.G.R.)
El sistema omite el cálculo sistemático de amortización, y múltiples bienes registrados en la cuenta "197007 Licencias" tienen vida útil de -1, 3, 4, 5, 6, 7, que presentan "Saldo por depreciar" cuyo valor es igual al costo de adquisición, y valor residual superior a 0% que en su mayoría es 1%.</t>
  </si>
  <si>
    <t>Inadecuada parametrización y registro de información en el SRF, ausencia del seguimiento y control a la medición posterior de los activos e inaplicación de políticas contables específicas adoptadas en el Manual de Políticas Contables</t>
  </si>
  <si>
    <t xml:space="preserve">Establecer controles a la aplicación de los criterios de  vida útil de los activos intangibles 
</t>
  </si>
  <si>
    <t xml:space="preserve">Realizar el registro de  los activos intangibles, conforme a la politica interna y/o al derecho reconocido en los contratos de adquisición. </t>
  </si>
  <si>
    <t>Registros de activos intangibles</t>
  </si>
  <si>
    <t>A partir de la transición a la Norma Internacional  y la Politica Contable 219, se aplica el criterio de registrar estos activos de manera individual, teniendo en cuenta la clasificación de finitas e indefinidas. La vida util se determina según indicación del  proveedor o supervisor del softwares o licencias, en en el caso  que sean indefinidas o perpetuas se crean con la vida util (-1) lo cual no activa la amortizacion, ni el valor residual.
Se evidencia el registro de los activos intangibles 000032 y  000001 del 2019 y 2021 respectivamente, a través del SRF en la forma ACGA los movimientos de amortizacion, depreciacion e inventarios.
Pasó de 0 a 100%</t>
  </si>
  <si>
    <r>
      <rPr>
        <b/>
        <sz val="11"/>
        <color rgb="FF000000"/>
        <rFont val="Arial"/>
        <family val="2"/>
      </rPr>
      <t>Activos No Explotados (A)</t>
    </r>
    <r>
      <rPr>
        <sz val="11"/>
        <color rgb="FF000000"/>
        <rFont val="Arial"/>
        <family val="2"/>
      </rPr>
      <t xml:space="preserve">
Ascensor MTISUBISHI, placa 000001, código 20801175 con  ingreso a almacén el 31/12/2017 por $83.100.000, y registro en la cuenta 163711 Equipos de transporte, tracción y elevación, con vida útil de 13 años (156 meses), clasificado como PROPIEDAD, PLANTA Y EQUIPO NO EXPLOTADO.
El Manual de Políticas Contables en Art. 181 estableció para este tipo de bienes 20 años de vida útil, como la entidad lo revela en la Nota 10.2 Estimaciones; sin embargo, el reporte con corte al 31/12/2019 del SRF, evidencia que la depreciación acumulada no se ajusta a la vida útil registrada ni a la establecida en la política contable, al presentar depreciación acumulada de $23.421.641,70, con un mayor valor de $10.637.027, producto de restar a la depreciación acumulada reconocida, la depreciación que correspondería a los 24 meses transcurridos por $12.784.615 (...)</t>
    </r>
  </si>
  <si>
    <t>Inadecuada parametrización y registro de información en el SRF, ausencia del seguimiento y control a la medición posterior de los activos, inaplicación de políticas contables adoptadas en el Manual de Políticas Contables y por ineficiencia en la gestión e inversión de los recursos públicos.</t>
  </si>
  <si>
    <t xml:space="preserve">Establecer controles a la aplicación de las políticas y procedimientos vigentes sobre  la clasificación de Construcciones en curso.   </t>
  </si>
  <si>
    <t xml:space="preserve">Reclasificar el activo  en la cuenta contable correspondiente y revisar su vida útil y la depreciación acumulada.
</t>
  </si>
  <si>
    <t>Registros de reclasificación del activo</t>
  </si>
  <si>
    <t>En registro de Nota de Contabilidad 01-D964-202100006 del 30-04-2021 se realiza el recálculo de la depreciaión y  vida útil del Ascensor Mtisubishi, placa 000001, código 20801175, se soporta en Informe detallado del Área de Adquisiciones e Inventarios. 
Pasó de 0 a 100%</t>
  </si>
  <si>
    <t xml:space="preserve">Profesional Especializado Área Adquisiciones e Inventarios. 
Profesional Especializado -Contador 
</t>
  </si>
  <si>
    <r>
      <rPr>
        <b/>
        <sz val="11"/>
        <color rgb="FF000000"/>
        <rFont val="Arial"/>
        <family val="2"/>
      </rPr>
      <t xml:space="preserve">Provisión proceso 20170011600 (A).
</t>
    </r>
    <r>
      <rPr>
        <sz val="11"/>
        <color rgb="FF000000"/>
        <rFont val="Arial"/>
        <family val="2"/>
      </rPr>
      <t xml:space="preserve">
El registro en EKOGUI proceso radicado No. 199133300120170011600 contra la UNICAUCA en el Juzgado 01 Administrativo de Popayán, detalla en el ítem actuaciones del proceso el pago por $55.337.554;  que indica que debe hacerse el retiro de la provisión contable y quedar en cero,  como muestra el pantallazo del sistema de información. (Gráfico 3 Informe CGR).  A pesar de lo anterior, a 31/12/2019 el saldo de la cuenta 270103 provisiones del proceso referido por $104.095.851.92, no concuerda con el valor de la provisión estimada en el eKOGUI y no evidencia el reconocimiento del pasivo real a pesar que hubo fallo ejecutoriado en contra de la entidad y su posterior pago.</t>
    </r>
  </si>
  <si>
    <t>Falta de seguimiento y control a los valores que se deben registrar de provisión contable y las deficiencias conciliación entre la Oficina Jurídica y el área Financiera de la Universidad.</t>
  </si>
  <si>
    <t xml:space="preserve">Establecer controles al procedimiento de calificación, provisión contable y pasivo contingente en los procesos litigiosos contra la Universidad. </t>
  </si>
  <si>
    <t>Registrar   la provisión del riesgo alto   de los procesos litigiosos  conforme a la Resolución 257 del 2018.</t>
  </si>
  <si>
    <t>Registro de la provisión</t>
  </si>
  <si>
    <t>El registro de Nota de Contabilidad 03-P900-202000035 del 01-07-2020, actualiza los valores de la provisión del proceso litigioso en contra de la Universidad, según Resolución 257/ 2018 que establece el procedimiento para calificación, provisión contable y pasivo contingente en los procesos litigiosos contra la Universidad.
Pasó de 0 a 100%</t>
  </si>
  <si>
    <t>Jefe Oficina Jurídica
Profesional Especializado-Contador</t>
  </si>
  <si>
    <r>
      <rPr>
        <b/>
        <sz val="11"/>
        <color rgb="FF000000"/>
        <rFont val="Arial"/>
        <family val="2"/>
      </rPr>
      <t xml:space="preserve">Ejecución de Ingresos por Matrículas (A).
</t>
    </r>
    <r>
      <rPr>
        <sz val="11"/>
        <color rgb="FF000000"/>
        <rFont val="Arial"/>
        <family val="2"/>
      </rPr>
      <t xml:space="preserve">
De la muestra aleatoria de matrículas financieras a través de recursos en línea "Recibo de Matrícula" y "SIMCA" página Web de la Universidad a los conceptos de biblioteca y deportes, derechos de grado, descuentos por voto y becas, se evidenció: 
Estudiante identificación 1085317xxx: estado "Activo" en SIMCA, reporta recibo de matrícula hasta 2018-II, y en el movimiento de ejecución presupuestal registra valores pagados por biblioteca y deportes por $137.000 en período 2019-II.
Estudiante identificación 1115069xxx: El descuento por  beca posgrado por $1.367.000 no está registrado en el recibo de matrícula del periodo 2019-I al cual corresponde el valor registrado en el movimiento presupuestal de ingresos. El descuento aparece en el recibo de matrícula del período 2018-II.
</t>
    </r>
  </si>
  <si>
    <t>Deficiencias de control presupuestal, de coordinación y conciliación de la información entre los aplicativos que se relacionan con la liquidación y registro de la matrícula financiera como simca, squid y finanzas plus.</t>
  </si>
  <si>
    <t xml:space="preserve"> Reducir el   riesgo de inconsistencias en la liquidación de derechos potenciales de matrícula a través de SIMCA </t>
  </si>
  <si>
    <t>Realizar pruebas de verificación,  previas a la emisión de boletas definitivas de  matricula.</t>
  </si>
  <si>
    <t>Registros de la  prueba aplicada</t>
  </si>
  <si>
    <t>Con oficio 4.2-52.5/426 del 23 de mayo de 2023, se remite acta 4.2-1.56/001 del 02 de marzo de 2023 respecto de la conciliación de pruebas de recibos SIMCA VS SQUID
Pasó de 80% a 100%</t>
  </si>
  <si>
    <t>Del análisis a la conciliación de una muestra de 103 casos, se encontró  concordancia entre la información de los aplicativos SIMCA y SQUID, por lo que se otorga un avance del 100%.</t>
  </si>
  <si>
    <t>Profesional  responsable procesos  DARCA
Profesional Especializado División TIC</t>
  </si>
  <si>
    <r>
      <rPr>
        <b/>
        <sz val="11"/>
        <color rgb="FF000000"/>
        <rFont val="Arial"/>
      </rPr>
      <t xml:space="preserve">Ingresos y recaudo por estampilla (A)
</t>
    </r>
    <r>
      <rPr>
        <sz val="11"/>
        <color rgb="FF000000"/>
        <rFont val="Arial"/>
      </rPr>
      <t>El reporte de facturación enero 1° y 31/12/2019 a los contratistas del sector público, ascendió a $4.054.347.000, de los que la administración recaudó $3.571.988.793 en los cuatros trimestres de 2019, según el reporte conciliado con la Tesorería de la Gobernación del Cauca; ingresos que representan el 89% de lo facturado.
En el reporte se identifican 14 facturas repetidas por igual concepto y sin anular, por  $41.041.000. A 31/12/2019 la facturación neta por concepto de Estampilla pro-Universidad del Cauca representó $4.013.306.000, de las cuales hubo facturas emitidas por la Universidad (aproximadamente 2.400) a los contratistas que suscribieron contratos en el sector público por $853.471.511.030, sin recaudar.
A raíz de la respuesta de la Universidad, ellos identificaron una diferencia por $729.538.000, producto de los cruces entre los reportes: Recaudo 2019 y RFAE, que corresponde a 36 facturas por $167.478.000 posiblemente duplicadas para ser analizadas, cobradas o anuladas si es el caso, y 128 facturas por $562.060.000 no pagadas por los deudores a la fecha que generaron el reporte en marzo de 2020.
Significa que los contratistas no están pagando la estampilla establecida en la Ordenanza No. 077 de 2009 y las acciones de gestión del recaudo de la estampilla establecida.</t>
    </r>
  </si>
  <si>
    <t>Inefectividad en las acciones de gestión del recaudo de la estampilla por parte de la UNICAUCA y de la Tesorería Departamental; las conciliaciones entre el Área de Cartera y  Tesorería y Contabilidad son generales y no de manera particular entre lo facturado y recaudado, existiendo facturas repetidas en el sistema Squid sin depurar, depósitos bancarios sin identificar</t>
  </si>
  <si>
    <t>Aplicar mecanismos de control  a la gestión efectiva  del  recaudo de la Estampilla pro-Universidad del Cauca.</t>
  </si>
  <si>
    <t>Ajustar e implementar el procedimiento de recaudo de estampilla pro Universidad del Cauca 180 años.</t>
  </si>
  <si>
    <t xml:space="preserve">Procedimiento de recaudo de estampilla pro Universidad del Cauca 180 años ajustado e implementado. </t>
  </si>
  <si>
    <t xml:space="preserve">La División de Gestión Financiera con oficio 5.2-52.2/007 del 17/11/2023 remitió las siguientes evidencias: 
1. Procedimiento PA-GA-5.2-PR-13 Reconocimiento, Registro y Control del Recaudo de la
Estampilla Universidad del Cauca.
2. Instructivo PA-GA-5.2-IN-2 Instructivo para cálculo a precios constantes estampilla Universidad del Cauca 180 años.
3. Oficios de solicitud de generación de Cuenta de Cobro a Vicerrectoría Administrativa - Crédito y Cartera, Cuenta de Cobro y Causación  por los meses de julio, agosto y septiembre de 2023.
</t>
  </si>
  <si>
    <t xml:space="preserve">2023-2: Se evidenció el ajuste del procedimiento de Reconocimiento, Registro y Control del Recaudo de la
Estampilla Universidad del Cauca, en el que atendieron las recomendaciones realizadas por la OCI en el seguimiento del primer semestre del 2023, observando la mejora en formulación de controles, la claridad en las actividades y designación de responsables, entre otros, y se evidenció su publicación en el portal web Institucional- Programa LVMEN. 
De igual manera, se revisó los documentos de implementación, observando la aplicación de actividades y controles proyectados en el procedimiento. 
Con la evidencia de la publicación e implentación del procedimiento, se determina el cumplimiento de la actividad en un 100%. </t>
  </si>
  <si>
    <t>Profesional Especializado Área  de Tesorería</t>
  </si>
  <si>
    <r>
      <rPr>
        <b/>
        <sz val="11"/>
        <color rgb="FF000000"/>
        <rFont val="Arial"/>
        <family val="2"/>
      </rPr>
      <t xml:space="preserve">Contratos de comodatos (A).
</t>
    </r>
    <r>
      <rPr>
        <sz val="11"/>
        <color rgb="FF000000"/>
        <rFont val="Arial"/>
        <family val="2"/>
      </rPr>
      <t>No. 2.3-31.7/061 de 2016 con la Gobernación del Cauca; no evidencia póliza de amparo vigente del bien entregado por $1.818.88 y  la última póliza No. 1001064 (certificación) estuvo vigente hasta el 8-05-2018; pese a que el "protector de cheques electrónico, modelo ID-300, 14 dígitos enteros" está al servicio de la Oficina de Rentas de la Gobernación del Cauca.
No. 5.5.31.7-016 de 2017 no se evidencia que el Hospital Susana López de Valencia incluyó  en su póliza el amparo de los bienes recibidos.
No. 2.3-31.8/027 de 2017 con  relación de 13 ítems a recibir por $67.500.000.  El registro de entrada de bienes al SRF es octubre 2019, por no estar habilitado y configurado para registrar bienes recibidos de terceros,  y se realizó por mayor valor, $73.175.000.  Sin evidencia de informes periódicos de supervisión de ejecución del contrato, y póliza de amparo de los bienes recibidos de la Fundación EMTEL.
No. 5.5-31.7/021 de 2018 por $40.451.200 el registro en el Sistema Reporte Financiero (SRF) fue en 2019  por $40.941.200,  mayor valor de lo previsto en el contrato.
No. 5.5.-31.8/01 de 2018, no evidencia cumplimiento de obligaciones pactadas, y en el expediente no reposa informe del supervisor designado, a quien le recordaron sus funciones el 9/05/2019 por la Vicerrectora Administrativa.Tampoco reposa copia de la póliza que ampara los bienes entregados en comodato al Hospital.
No. 5.5.-31.7/002 de 2018, no hay acta de entrega de bienes ni de registros en Almacén; no se evidencia la póliza que ampare los bienes adquirida por el Hospital U.S.J, hubo devolución de bienes según oficio de 09/10/2019, pero carece de soportes de registros en Almacén de las novedades y modificación del contrato.</t>
    </r>
  </si>
  <si>
    <t xml:space="preserve">Los controles establecidos para el registro y control de bienes y supervisión contractual son inadecuados y/o no se aplican, y por deficiencias en el diseño y aplicación de las políticas contables para activos no generadores de efectivo.
</t>
  </si>
  <si>
    <t>Se evidencia la socialización del procedimiento actualizado a los interesados, a través de correo electrónico, tal como lo recomednó la OCI en el seguimiento 2024 - 1.
Se asigna el 100% de avance.</t>
  </si>
  <si>
    <t>Profesional Especializado Área Adquisiciones e Inventarios. 
Jefe Oficina Jurídica</t>
  </si>
  <si>
    <r>
      <rPr>
        <b/>
        <sz val="11"/>
        <color rgb="FF000000"/>
        <rFont val="Arial"/>
        <family val="2"/>
      </rPr>
      <t>Activos generadores de efectivo (A)</t>
    </r>
    <r>
      <rPr>
        <sz val="11"/>
        <color rgb="FF000000"/>
        <rFont val="Arial"/>
        <family val="2"/>
      </rPr>
      <t xml:space="preserve">
El Manual de Políticas Contables adoptado por la UNICAUCA presenta deficiencias en la definición y aplicación de políticas específicas para activos generadores de efectivo (UGE):  
No determinar UGE que posee la universidad.
No aplicar la revisión y evaluación de los indicios de deterioro del valor de los activos generadores de efectivo, al final del periodo contable 2019 según lo establece el Art. 253 para c/u de sus activos en forma individual.
Revela información de forma general en las Notas 13 y 14 del Estado de Situación Financiera, en tanto se identifica que la entidad no incluyó los aspectos relevantes requeridos en los artículos 156, 223 y 264 del Manual de Políticas Contables, como método de depreciación, vida útil, depreciación acumulada, si fueron o no deteriorados, entre otros, y la vida útil, valor residual y método de amortización aplicados en los activos intangibles reconocidos en la cuenta 1970.
El Estado de situación financiera de 2019 presentaron Activos intangibles (cuenta 1970) como Activos Corrientes por $3.304.322.719, cuando la política definida en el artículo 224 determinó clasificar como Activos no corrientes.</t>
    </r>
  </si>
  <si>
    <t>Deficiencias en el seguimiento y control a las Políticas contables adoptadas en el Manual aprobado mediante Acuerdo Superior 012 de 2018 y por datos errados e incongruentes en el sistema SRF que difieren del Marco Normativo para entidades de Gobierno</t>
  </si>
  <si>
    <t xml:space="preserve">Establecer mecanismos de control al cumplimiento de las políticas contables internas, en consonancia con  la dinámica contable pública. </t>
  </si>
  <si>
    <t>Incorporar en los procedimientos controles a  las políticas contables.</t>
  </si>
  <si>
    <r>
      <t xml:space="preserve">Con oficio 5.2-52.2/0068 del 13/06/2022, la División de Gestión Financiera remite las siguientes evidencias: 
*Solicitud creación procedimiento demandas, arbitrajes y conciliaciones
*Procedimiento PA-GA--5.2-PR-15 "Procedimiento para el registro de demandas, arbitrajes y conciliaciones extrajudiciales interpuestas o radicadas por terceros en contra de la entidad"
Se evidencia la publicación del procedimiento en el Banner LVMEN de la página web Institucional, LINK: 
http://facultades.unicauca.edu.co/prlvmen/sites/default/files/procesos/PA-GA-5.2-PR-15%20Procedimientos%20Demandas%2C%20arbitrajes%20y%20conciliaciones%20interpuesta%20o%20radicadas%20por%20terceros%20en%20contra%20de%20la%20entidad%20V1.pdf
</t>
    </r>
    <r>
      <rPr>
        <b/>
        <sz val="11"/>
        <color rgb="FF000000"/>
        <rFont val="Arial"/>
        <family val="2"/>
      </rPr>
      <t>OCI:</t>
    </r>
    <r>
      <rPr>
        <sz val="11"/>
        <color rgb="FF000000"/>
        <rFont val="Arial"/>
        <family val="2"/>
      </rPr>
      <t xml:space="preserve"> De acuerdo con las evidencias remitidas y la verificación de la publicación del procedimiento, se determina cumplimiento de la acción de mejora, por lo que el </t>
    </r>
    <r>
      <rPr>
        <b/>
        <sz val="11"/>
        <color rgb="FF000000"/>
        <rFont val="Arial"/>
        <family val="2"/>
      </rPr>
      <t>avance pasa del 90% al 100%</t>
    </r>
    <r>
      <rPr>
        <sz val="11"/>
        <color rgb="FF000000"/>
        <rFont val="Arial"/>
        <family val="2"/>
      </rPr>
      <t xml:space="preserve">. </t>
    </r>
  </si>
  <si>
    <t>Profesional Especializado Contador 
Jefe Administrativo y Financiero Unidad de Salud
Vicerrectoría Administrativa 
Cartera</t>
  </si>
  <si>
    <r>
      <rPr>
        <b/>
        <sz val="11"/>
        <color rgb="FF000000"/>
        <rFont val="Arial"/>
      </rPr>
      <t xml:space="preserve">Normas Internas frente al marco normativo para entidades de Gobierno (A).
</t>
    </r>
    <r>
      <rPr>
        <sz val="11"/>
        <color rgb="FF000000"/>
        <rFont val="Arial"/>
      </rPr>
      <t xml:space="preserve">
Unidad de Regionalización: La  administración de la entidad durante el 2019 ejecutó recursos con cargo a esta unidad, pero las transacciones y hechos económicos y legales no fueron medidos y reconocidos en la contabilidad de esta unidad, sino que afectaron los saldos de la Unidad 1; decisión que no fue presentada ni revelada dentro de la información financiera en los Estados Financieros aprobados para la vigencia fiscal 2019.
Los procedimientos de los diferentes procesos misionales y transversales, excepto financiera, que son generadores de información financiera no fueron objeto de revisión ni actualización conforme al Marco normativo de información financiera para Entidades de Gobierno, y la información financiera no fluye de manera adecuada y oportuna hacia Tesorería y Contabilidad; principalmente lo relacionado con proyectos de investigación, convenios, contratos de obras y recaudos.</t>
    </r>
  </si>
  <si>
    <t>Diversidad de normas expedidas por la Universidad que no son objeto de seguimiento y control frente a las exigencias de la información financiera, y por deficiencias de los sistemas de información al no estar acondicionados a las necesidades del marco normativo para la medición y reconocimiento de los hechos económicos y transacciones</t>
  </si>
  <si>
    <r>
      <t>Reconocer los recursos  financieros  existentes en los registros contables y de tesorería en la Unidad 05 y trasladarlos a la Unidad 01</t>
    </r>
    <r>
      <rPr>
        <b/>
        <sz val="11"/>
        <color rgb="FF000000"/>
        <rFont val="Arial"/>
        <family val="2"/>
      </rPr>
      <t xml:space="preserve">. 
</t>
    </r>
  </si>
  <si>
    <t xml:space="preserve">Conciliar la información bancaria de la Unidad 05 con los extractos, libros contables y de tesorería de 
 las Unidades 01 y 05. 
Registrar la nota de tesorería de las partidas resultado de la conciliación entre las Unidades 01 y 05 para la inactivación de la cuenta bancaria Unidad 05
Inactivar  en el sistema de información financiera Finanzas Plus a la Unidad 05
</t>
  </si>
  <si>
    <t xml:space="preserve">Registro de conciliación bancaria.
Registro de inactivación cuenta bancaria Unidad 05
Registro de inactivación de la Unidad 05 
</t>
  </si>
  <si>
    <r>
      <t xml:space="preserve">La División de Gestión Financiera con oficio 5,2-52.2/042 del 26/11/2021 remite las siguientes evidencias:
* Conciliación bancaria a julio de la cuenta 520-646357. 
*Extracto a julio de la cuenta 520-646357.
* Libro bancario a julio de la cuenta 520-646357. 
*Conciliación de los saldos a julio.
*BRSB de la unidad 05 a julio.
*CBAP de la unidad 05 a julio. 
* Pantallazo MCEF de estado cancelado de la cuenta 520-646357.
Observación OCI: 
Se  validan las evidencias constatando el cumplimiento de la unidad de medida. 
</t>
    </r>
    <r>
      <rPr>
        <b/>
        <u/>
        <sz val="11"/>
        <color rgb="FF000000"/>
        <rFont val="Arial"/>
        <family val="2"/>
      </rPr>
      <t xml:space="preserve">Se asigna avance del 100%. 
</t>
    </r>
    <r>
      <rPr>
        <sz val="11"/>
        <color rgb="FF000000"/>
        <rFont val="Arial"/>
        <family val="2"/>
      </rPr>
      <t xml:space="preserve">
</t>
    </r>
  </si>
  <si>
    <t xml:space="preserve">División de Gestión Financiera. </t>
  </si>
  <si>
    <r>
      <rPr>
        <b/>
        <sz val="11"/>
        <color rgb="FF000000"/>
        <rFont val="Arial"/>
        <family val="2"/>
      </rPr>
      <t>Ejecución Plan Anual de Adquisiciones (PAA) 2019 (A</t>
    </r>
    <r>
      <rPr>
        <sz val="11"/>
        <color rgb="FF000000"/>
        <rFont val="Arial"/>
        <family val="2"/>
      </rPr>
      <t>)
La administración de la UNICAUCA en la vigencia  2019 no utilizó el PAA que aprobó, como un instrumento de gestión administrativa para el efectivo uso racional y estratégico de los recursos públicos ejecutados en las diferentes fuentes de financiación, toda vez que, de acuerdo con los contratos y ordenes de compras revisadas, se identificaron bienes y servicios, cuantías y/o plazos, que superaron lo programado en el PAA.</t>
    </r>
  </si>
  <si>
    <t xml:space="preserve">No se verificó efectivamente que los bienes y servicios solicitados estuvieran programados en el PAA 2019, ni hubiesen solicitado la actualización conforme al artículo segundo de la Resolución 063 de 2019.
</t>
  </si>
  <si>
    <t xml:space="preserve">
Reorientar la metodología de formulación del Plan Anual de Adquisiciones como herramienta estratégica de gestión.</t>
  </si>
  <si>
    <t xml:space="preserve">
Documentar, socializar y aplicar el procedimiento para la elaboración,  seguimiento y actualización del Plan Anual de Adquisiciones.</t>
  </si>
  <si>
    <t>Procedimiento documentado, socializado y aplicado</t>
  </si>
  <si>
    <r>
      <t xml:space="preserve">Corte Abril 2021: se evidencia en el programa Lvmen el procedimiento "Elaboración, Seguimiento y Actualización del Plan de Anual de Adquisiciones" código  PA-GA-5.4.5 -PR-19 V1. Fecha de actualización 07/04/2021. 
Con base en la unidad de medida, la OCI asigna avance del 70% teniendo en cuenta la documentación y socialización, pendiente la verificación de su implementación. 
Corte segundo periodo 2021:
-La OPDI informó sobre el requerimiento de información a la Vicerrectoría Administrativa, sobre los proyectos en el BPPUC, sin respuesta, situación que afecta el porcentaje de avance general en lo que concierne a la OPDI. 
Con oficio 5-.71.7/0991 del 26/11/2021 la Vicerrectoría Administrativa  informó que el avance de la actividad corresponde al Área de Adquisiciones. 
El Área de Adquisiciones e Inventarios mediante correo electrónico scasanova@unicauca.edu.co del 25/11/2021, "Se realiza la socializacion del procedimiento del Plan Anual de Adquisiciones a las dependencias académicas y administrativas.  Se realiza la actualización del PAA versión 2. Se realiza seguimiento al PAA de acuerdo con la peridicidad establecida en el procedimiento". 
Evidencias: 
-Correos eletrónicos. 
-Resolución Rectoral 0346 del 28/06/2021 actualiza el PAA justificado en la inclusión de necesidades de las unidades académicas y administrativas. 
-Matriz en formato Excel como evidencia del seguimiento al PAA
El Área de Adquisiciones desde correo electrónico scasanova@unicauca.edu.co, remitió el 14/01/2022 el informe final del Plan Anual de Adquisiciones 2021, corte 31/12/2021. 
</t>
    </r>
    <r>
      <rPr>
        <b/>
        <sz val="11"/>
        <color rgb="FF000000"/>
        <rFont val="Arial"/>
      </rPr>
      <t xml:space="preserve">Observación OCI:
</t>
    </r>
    <r>
      <rPr>
        <sz val="11"/>
        <color rgb="FF000000"/>
        <rFont val="Arial"/>
      </rPr>
      <t xml:space="preserve">
Las evidencias suministradas reflejan el desarrollo de la Unidad de medida, por lo que</t>
    </r>
    <r>
      <rPr>
        <b/>
        <sz val="11"/>
        <color rgb="FF000000"/>
        <rFont val="Arial"/>
      </rPr>
      <t xml:space="preserve"> la OCI asigna avance del 100%.</t>
    </r>
  </si>
  <si>
    <t xml:space="preserve">
Vicerrectora Administrativa 
Jefe Oficina de Planeación y  Desarrollo Institucional
Profesional Especializado Área Adquisiciones e Inventarios
</t>
  </si>
  <si>
    <r>
      <rPr>
        <b/>
        <sz val="11"/>
        <color rgb="FF000000"/>
        <rFont val="Arial"/>
        <family val="2"/>
      </rPr>
      <t>Saldos iniciales activos no generadores de efectivo. (A)</t>
    </r>
    <r>
      <rPr>
        <sz val="11"/>
        <color rgb="FF000000"/>
        <rFont val="Arial"/>
        <family val="2"/>
      </rPr>
      <t xml:space="preserve">
Los registros de saldos iniciales de los bienes inmuebles que se contabilizaron en la cuenta 1640 EDIFICACIONES, por $135.433.000.000, se reconocieron de acuerdo con los valores determinados en los avalúos técnicos a diciembre de 2017, éstos no definieron la vida económica residual de los inmuebles objeto de avalúos, y su elaboración no tuvo presente las normas relacionadas al Marco normativo de información financiera bajo NIIF.
No se realizó adecuadamente la medición posterior de la Propiedad, Planta y Equipo, en tanto,  no revisó los indicios de existencia de deterioro de los inmuebles en servicio al final del periodo contable 2019 y no definió en su Manual los eventos que dan origen a indicios de deterioro, sino que determinó las fuentes de información.
Revela información de forma general y de análisis de saldos en las Notas 10 del Estado de Situación Financiera, sin especificar lo determinado en los Art. 188 y 276.
No determina la materialidad para los activos generadores y no generadores de efectivo, en las políticas contables.</t>
    </r>
  </si>
  <si>
    <t>Falencias en el proceso de contratación de los servicios de avalúos técnicos, al desconocimiento de las exigencias del Marco Normativo Contable para Entidades de Gobierno y acciones deficientes por parte de la Alta Dirección para atender el sistema de control interno contable.</t>
  </si>
  <si>
    <t>Ajustar el registro de la vida ùtil y revisar los indicios de deterioro de bienes inmuebles no generadores de efectivo</t>
  </si>
  <si>
    <t>Registros de ajuste y revisión de indicios de deterioro de inmuebles no generadores de efectvo</t>
  </si>
  <si>
    <r>
      <t xml:space="preserve">El Área de Adquisiciones e Inventarios desde el correo institucional scasanova@unicauca.edu.co del 10/06/2022 remite el instructivo para el cálculo de deterioro de valor de los activos no generadores de efectivo, la Unidad de Salud  desde el correo electrónico martinmosquera@unicauca.edu.co, del 05/07/2022, envía matriz soporte de los cálculos de deterioro, y la División de Gestión Financiera con oficio 5.2-52.2/067 del 09/06/22 remitió la nota de contabilidad. 
</t>
    </r>
    <r>
      <rPr>
        <b/>
        <sz val="11"/>
        <color rgb="FF000000"/>
        <rFont val="Arial"/>
        <family val="2"/>
      </rPr>
      <t xml:space="preserve">OCI: 
</t>
    </r>
    <r>
      <rPr>
        <sz val="11"/>
        <color rgb="FF000000"/>
        <rFont val="Arial"/>
        <family val="2"/>
      </rPr>
      <t xml:space="preserve">
En la información remitida por la Unidad de Salud y la División de Gestión Financiera, se evidencia el registro de los cálculos del deterioro de los inmuebles de las Unidades 1 y 2, donde se determina el deterioro de un (1) inmueble perteneciente a la Unidad de Salud, y el ajuste en la respectiva nota contable, por lo que</t>
    </r>
    <r>
      <rPr>
        <b/>
        <sz val="11"/>
        <color rgb="FF000000"/>
        <rFont val="Arial"/>
        <family val="2"/>
      </rPr>
      <t xml:space="preserve"> el avance pasa del 20% al 100%.</t>
    </r>
  </si>
  <si>
    <t xml:space="preserve"> 
Profesional Especializado Área Adquisiciones e Inventarios
Profesional Especializado Contador
</t>
  </si>
  <si>
    <r>
      <rPr>
        <b/>
        <sz val="11"/>
        <color rgb="FF000000"/>
        <rFont val="Arial"/>
        <family val="2"/>
      </rPr>
      <t>Registro eKogui (A-D)</t>
    </r>
    <r>
      <rPr>
        <sz val="11"/>
        <color rgb="FF000000"/>
        <rFont val="Arial"/>
        <family val="2"/>
      </rPr>
      <t xml:space="preserve">
A 31 de diciembre de 2019 la Universidad del Cauca no ha efectuado el registro en la plataforma eKOGUI de los procesos con radicación Nos. 200301397-00 y 201700265-00.</t>
    </r>
  </si>
  <si>
    <t>Fallas en los controles diseñados.</t>
  </si>
  <si>
    <t>Asegurar la efectividad de los controles en garantía de la completitud de la información litigiosa E-kogui</t>
  </si>
  <si>
    <t xml:space="preserve">Documentar el procedimiento de registro de información litigiosa
Diseñar nuevos controles al registro de información litigiosa, ajustados a las   normativas nacionales
</t>
  </si>
  <si>
    <t xml:space="preserve">En el informe 2.6-52.18/05 de 2021 de seguimiento a la información litigiosa registrada en el aplicativo eKOGUI,  se evidencian controles en el registro de los procesos judiciales de la Universidad del Cauca. 
En reunión junio 2021 ante requerimiento CGR se concluyó: Se presentaron las modificaciones al clausulado de las minutas contractuales que se suscriben con los abogados externos, en cuanto a la obligación de resgitro de la información litigiosa,  controles al registro de información mensuales y capacitaciones a abogados externos e internos frente a las obligaciones que surgen por la plataforma Ekogui. 
Pasó del 0 al 100%. </t>
  </si>
  <si>
    <t xml:space="preserve">Jefe Oficina Jurídica
</t>
  </si>
  <si>
    <r>
      <rPr>
        <b/>
        <sz val="11"/>
        <color rgb="FF000000"/>
        <rFont val="Arial"/>
        <family val="2"/>
      </rPr>
      <t>Sanción de Ministerio de Trabajo (A-F-D).</t>
    </r>
    <r>
      <rPr>
        <sz val="11"/>
        <color rgb="FF000000"/>
        <rFont val="Arial"/>
        <family val="2"/>
      </rPr>
      <t xml:space="preserve">
La Territorial Cauca del Ministerio de Trabajo por medio de la Res.118 del 7/05/2018 impuso sanción pecuniaria a la UNICAUCA por $31.249.680, quedando en firme en Res. 087 del 28/02/2019, una vez se decidió la impugnación presentada por el alma mater, al considerar que se cometió vulneración al artículo 416-A. del  C.S.T. relacionado con el derecho de permiso sindical.
Para dar cumplimiento a la medida administrativa, el ente universitario expidió la Resolución 267 del 8/04/2019, que ordenó a la División de Gestión Financiera la realización del registro de disponibilidad presupuestal y generar el pago de $31.249.680, el cual fue llevado a cabo el día 9/04/2019, tal como se soporta en comprobante de egreso 201900016</t>
    </r>
  </si>
  <si>
    <t>La sanción fue generada a causa de los hechos producidos por la administración de la Universidad del Cauca y que el Ministerio del Trabajo consideró eran constitutivos de vulneración al derecho de permiso sindical regulado en el C.S.T</t>
  </si>
  <si>
    <t>Establecer criterios para el otorgamiento de derechos  derivados de la  asociación sindical,  con arreglo a las disposiciones vigentes</t>
  </si>
  <si>
    <t>Definir  mecanismos de  trámite  del  permiso sindical a los docentes universitarios</t>
  </si>
  <si>
    <t>Registro mecanismos y criterios</t>
  </si>
  <si>
    <t>La División de Gestión del Talento Humano remite copia del acta final que registra el acuerdo de la negociación sindical con la Asociación Sindical de Profesores Universitarios -ASPU del 29/12/2020. 
Pasó de 0 a 100%</t>
  </si>
  <si>
    <t>División Gestión Talento Humano
Jefe Oficina Jurídica
Vicerrector Académico</t>
  </si>
  <si>
    <r>
      <rPr>
        <b/>
        <sz val="11"/>
        <color rgb="FF000000"/>
        <rFont val="Arial"/>
        <family val="2"/>
      </rPr>
      <t>Norma de Austeridad del Gasto (A)</t>
    </r>
    <r>
      <rPr>
        <sz val="11"/>
        <color rgb="FF000000"/>
        <rFont val="Arial"/>
        <family val="2"/>
      </rPr>
      <t>.
La Entidad manifiesta que la verificación previa que se realiza con el fin de determinar la existencia o no de pluralidad en la contratación de prestación de servicios en cumplimiento de esta norma de austeridad, se realiza actualmente cotejando el Sistema de Rendición Electrónica de la Cuenta e Informes – SIRECI, y no mediante el sistema ACOPS, como lo establece el artículo 61 del Acuerdo No. 051 de 2007, hecho que indica que el Estatuto Financiero y Presupuestal de la Universidad no ha sido actualizado en este sentido</t>
    </r>
  </si>
  <si>
    <t>Debilidades de control interno que trae como consecuencia mantener vigente una norma cuyo procedimiento no se lleve a cabo en la práctica (verificación en el sistema ACOPS), sino en el SIRECI.</t>
  </si>
  <si>
    <t>Actualizar el Estatuto Financiero y presupuestal a la realidad de la operación institucional</t>
  </si>
  <si>
    <t>Ajustar el artículo 61 del Estatuto Financiero y Presupuestal,  frente a la verificación de pluralidad de contratos de prestación de servicios.</t>
  </si>
  <si>
    <t xml:space="preserve">Registro de ajuste </t>
  </si>
  <si>
    <r>
      <t xml:space="preserve">Con oficio 5-71.7/0991 del 26/11/2021 la Vicerrectoría Administrativa adjunta el registro del acuerdo 051 de 2007- Estatuto Financiero y Presupuestal modificado en el artículo 61. 
La OCI valida la evidencia reportada y </t>
    </r>
    <r>
      <rPr>
        <b/>
        <sz val="11"/>
        <color rgb="FF000000"/>
        <rFont val="Arial"/>
        <family val="2"/>
      </rPr>
      <t>otroga un avance del 100%</t>
    </r>
  </si>
  <si>
    <t>Vicerrectora Administrativa
Jefe Oficina Jurídica</t>
  </si>
  <si>
    <r>
      <rPr>
        <b/>
        <sz val="11"/>
        <color rgb="FF000000"/>
        <rFont val="Arial"/>
        <family val="2"/>
      </rPr>
      <t>Rendición gestión contractual aplicativo SIRECI (A- PAS).</t>
    </r>
    <r>
      <rPr>
        <sz val="11"/>
        <color rgb="FF000000"/>
        <rFont val="Arial"/>
        <family val="2"/>
      </rPr>
      <t xml:space="preserve">
1. Contratos rendidos en formulario 426 F5.4: GESTIÓN CONTRACTUAL - CONVENIOS / CONTRATOS INTERADMINISTRATIVOS en forma incorrecta, al no constituirse como convenios o contratos interadministrativos: 
Suministros del 2019: 5.5-31.6/001, 5.5-31.6/002, 5.5-31.6/003,5.5-31.6/006,5.5-31.6/001/008, 5.5-31.6/0012,5.5-31.6/013, 5.5-31.6/015, 5,5-31,6/017,  5.5-31.6/022, 5.5-31.6/024, 5.5-31.6/027,5.5-31.6/030, 5.5-31.6/042, 5.5-31.6/043,5.5-31.6/044, 5.5-31.6/045, 5.5-31.6/047,5.5-31.6/048,5.5-31.6/049 , 5,5-31,4/050 de 2019 obra.
Compraventa 2019:5.5-31.3/004, 5.5-31.3/009, 5.5-31.3/010, 5.5-31.3/014; 5.5-31.3/016, 5.5-31.3/018, 5.5-31.3/019; 5.5-31.3/028, 5.5-31.3/029, 5.5-31.3/031.5-31.3/034, 5.5-31.3/033, 5.5-31.3/035, 5.5-31.3/037; 5.5-31.3/038, 5.5-31.3/041
Obra 2019:5.5-31.4/005, 5.5-31.4/020; 5.5-31.4/039, 5-31.4/040,  5.5-31.4/050
Interventoría 2019: 5.5-31.9/023; 5.5-31.9/025, 5.5-31.9/046
OPS 2019: 5.5-31.5/026
Arrendamiento 2019; 5.5-31.1/036
2.Negocios jurídicos no rendidos en formularios del SIRECI vigencia 2019: 10,1-32,7/001, 10,1-32,7/002, 10.1-32.7/003, 10,2-32,6/004, 2.5.32.7-094.
3. Negocios jurídicos con contratistas bajo ffiguras de Consorcio o Unión Temporal: contratos del 2019 Nos. 5,5-31,9/023, 5,5-31,4/046  y 5,5-31,3/029, que revisados los formularios 427 F5.5: GESTIÓN CONTRACTUAL - INTEGRANTES CONSORCIOS Y UNIONES TEMPORALES vigencia 2019, no se evidencia la rendición de la información.</t>
    </r>
  </si>
  <si>
    <t>Debilidades en el control que realiza la Entidad al momento de rendir este reporte al aplicativo SIRECI.</t>
  </si>
  <si>
    <t>Asegurar la calidad del  reporte de la  contratación  a través del aplicativo SIRECI.</t>
  </si>
  <si>
    <t>Revisar y ajustar  los controles aplicados  sobre la  información contractual.</t>
  </si>
  <si>
    <t>Registro de cumplimiento de controles</t>
  </si>
  <si>
    <r>
      <t xml:space="preserve">
Ante requerimiento de la CGR, en reunión de junio de 2021 se obtuvo: La Oficina de Planeación y Desarrollo Institucional-OPDI, con comunicación del 24/06/2021 informó respecto de la aplicación de la corrección y la actividad de mejoramiento. 
1. Correctivo: se solicitó a las Dependencias responsables, corregir la información de la gestión contractual reportada al aplicativo SIRECI, respecto de los contratos relacionados en el hallazgo.
2. Actividad de mejora: La OPDI convocó a la Vicerrectoría Administrativa y a la Unidad de Salud para asumir compromisos tendientes a  fortalecer los controles en el registro de la información en el SIRECI, entre los que se destacan la capacitación a los funcionarios responsables de la transmisión. (Actas 5-1.73/012 del 23/04/2020 y 10.2-1.90/002 del 23/04/2020). 
La OPDI capacitó a los responsables de la transmisión al SIRECI (Acta 5.4-1.56/910 del 27/08/2020). 
En el requerimiento mensual  instruye sobre las criterios mínimos a considerar en el reporte por cada formulario   advirtiendo a los procesos responsables el sumnistro de la  información los errores generados en la transmisión para su corrección. 
</t>
    </r>
    <r>
      <rPr>
        <b/>
        <sz val="11"/>
        <color rgb="FF000000"/>
        <rFont val="Arial"/>
        <family val="2"/>
      </rPr>
      <t xml:space="preserve">Requerir a la OPDI el desarrollo de las capacitaciones de transmisión del SIRECI. </t>
    </r>
  </si>
  <si>
    <t xml:space="preserve"> 
Oficina de Planeación y Desarrollo Institucional 
 </t>
  </si>
  <si>
    <r>
      <rPr>
        <b/>
        <sz val="11"/>
        <color rgb="FF000000"/>
        <rFont val="Arial"/>
        <family val="2"/>
      </rPr>
      <t xml:space="preserve">Archivo de soportes contractuales (A).
</t>
    </r>
    <r>
      <rPr>
        <sz val="11"/>
        <color rgb="FF000000"/>
        <rFont val="Arial"/>
        <family val="2"/>
      </rPr>
      <t>En los siguientes expedientes contractuales  2019 (entre otros) se observan:
1. Contrato 5,5-31,3/010 no adjunta Fra. A2 7933 del 27/07/2019 por $137.000.000,  ni soportes de pago seguridad social y parafiscales. 
2. Contrato 5,5-31,3/004 no allega Fra. 9257 del 29 /04/2019 por $195.235.068, ni certificación expedida por el revisor fiscal del contratista y el l acta de ingreso a almacén No. 20190010 del 25/05/2019.
3. Contrato 5,5-31,3/033 de 2019 no aporta Fra 195 del 13/12/2019, ni certificación expedida por el revisor fiscal del contratista, evaluación del proveedor suscrita por el supervisor; acta de entrada almacén  20190046 del 16/12/2019.
4. Contrato 5,5-31,9/025 no evidencia actas parciales de interventoría ejecutada, justificaciones técnicas y recibo parcial a satisfacción “por parte del supervisor del contrato. (suscritas entre el contratista, supervisor y ordenador del gasto).
5. Contrato de obra 5,5-31,4/039 inició el 17/12/2019 y  plazo de 4 meses, el expediente no evidencia registro del avance de ejecución del objeto contractual.
6. Contrato 5,5-31,6/048 con inicio 26/12/2019,  plazo 45 días calendario, el plazo de ejecución cumplido, solo allegan soportes de avance de ejecución por $50.521.747, cuando el valor total del contrato es de $335.638.905.
7. Los contratos 42, 43 y 44, con término de ejecución vencidos, el expediente no videncia el cumplimiento del objeto contractual.
8. Los contratos 10.1-31.5/007, 10.2-31.5/018, 10.2-31.5/024, 10.2-31.5/022, 10.2-31.5/021, en los expedientes contractuales no se adjuntan las facturas presentadas por las entidades contratista para su pago.</t>
    </r>
  </si>
  <si>
    <t xml:space="preserve">Debilidades de supervisión.
</t>
  </si>
  <si>
    <t xml:space="preserve">Implementar controles a la gestión documental derivada de la vigilancia contractual administrativa, técnica y financiera.  </t>
  </si>
  <si>
    <t>Consolidar y organizar  las carpetas  contractuales  conforme a las  Tablas de Retención Documental-TRD.</t>
  </si>
  <si>
    <t xml:space="preserve">Registros de organización documental  </t>
  </si>
  <si>
    <t>1320 Carpetas para los contratos vigencia 2019</t>
  </si>
  <si>
    <t>Con respecto a la muestra fijada por la OCI para la revisión de los expedientes contractuales del archivo del Área de contratación de la Vicerrectoría Administrativa, vigencia 2019, como consta en acta 2.6-1.60/25 05/12/2022, se encontró:
Legajos organizados conforme a listas de chequeo.
Algunas situaciones  relacioandas con la perforación, expurgo y foliación, que se deberan ajustarse para realizar la transferencia correspondiente.</t>
  </si>
  <si>
    <t>Vicerrectora Administrativa
Secretaría General
Jefe Oficina Jurídica</t>
  </si>
  <si>
    <r>
      <t xml:space="preserve">Registros de entregas y salidas de almacén. En las dependencias de la Unidad 1 (Administración General) se identificaron debilidades en el cumplimiento de los procedimientos y controles establecidos para la clasificación, administración y custodia de los bienes de propiedad de la Entidad, como se evidencia a continuación: a. No registran ni tramitan oportunamente los formatos de entradas. 
</t>
    </r>
    <r>
      <rPr>
        <b/>
        <sz val="11"/>
        <color rgb="FF000000"/>
        <rFont val="Arial"/>
      </rPr>
      <t xml:space="preserve">
</t>
    </r>
  </si>
  <si>
    <t>Desarticulación entre las instancias administrativas  involucradas en el procedimiento de  gestión de pérdida, hurto o daño de bienes institucionales-</t>
  </si>
  <si>
    <t xml:space="preserve">Establecer y aplicar controles efectivos para el registro y seguimiento  de los bienes que han sido objeto de pérdida, hurto o daño. </t>
  </si>
  <si>
    <t>Actualizar las normas y el procedimiento  para  el manejo de las situaciones de pérdida, hurto o daño de bienes universitarios</t>
  </si>
  <si>
    <t>Norma y Procedimiento actualizados</t>
  </si>
  <si>
    <t>I semestre 2024
Con Oficio 5.4.5-27.1/010 del 21/06/2024 el Área de Adquisiciones e Inventarios reportó:
1. Procedimiento  PA-GA-5.4.1-PR-10 Pérdida o hurto de bienes de propiedad de la Universidad del Cauca, en versión 7 del 6/06/2024 y publicado en LVMEN
2.1. Oficio entrega a VADM proyecto derogación Acuerdo Superior 043 de 2002
2.2 Correo Proyecto nuevo Acuerdo- Derogación AS 043 de 2002
3. Correo solicitud de aval para proyecto derogatorio del AC 043 de 2002</t>
  </si>
  <si>
    <t>II semestre 2024:
La OCI evidenció la publicación del Acuerdo Superior 052 del 12/12/2024, que expide normas generales sobre la clasificación, administración y custodia de los bienes de propiedad de la Universidad del Cauca y deroga el Acuerdo 043 de 2002.
Se asigna el 100% de avance</t>
  </si>
  <si>
    <t>Vicerrectora Administrativa
Jefe Oficina Jurídica
Profesional Especializado Área Adquisiciones
Profesional Especializado-Contador</t>
  </si>
  <si>
    <t xml:space="preserve">Registros de entregas y salidas de almacén.  al) se identificaron debilidades en el cumplimiento de los procedimientos y controles establecidos para la clasificación, administración y custodia de los bienes de propiedad de la Entidad, como se evidencia a continuación: (...) 
 i. Los soportes y documentos relacionados con las adquisiciones, entregas y novedades de los recursos físicos de la Universidad,  necesarios para soportar su calidad y control no reposan en forma organizada y centralizada acorde a la naturaleza jurídica y financiera (garantías, contratos de comodato, etc.).  j. En los expedientes de los funcionarios que tienen bienes devolutivos a cargo, no reposan todos los soportes de Salidas de Almacén (A22) ni de los traspasos y devoluciones realizadas a bodega de inservibles, y en otros casos lo formatos carecen de las firmas de recibo por los responsables. 
</t>
  </si>
  <si>
    <t>Establecer mecanismos de control a la gestión documental de las carpetas de los cuentadantes de  bienes institucionales</t>
  </si>
  <si>
    <t>Actualizar las carpetas de  los cuentadantes de bienes universitarios,  conforme a la Tabla de Retención Documental-TRD</t>
  </si>
  <si>
    <t>Porcentaje carpetas actualizadas</t>
  </si>
  <si>
    <r>
      <t xml:space="preserve">El archivo de gestión del Área de Adquisiciones e Inventarios de la Universidad del Cauca se encuentra actualizado, organizado y foliado respectivamente. 
El 17/01/2022 la OCI realizó una verificación aletoria a los legalos de los cuentadantes  activos e inactivos, los cuales reposan en el Archivo de Gestión del Área de Adquisiciones e Inventarios, encontrando conformidad en la organización y completitud de los registros documentales relativos a los ingresos, traslados y egresos de los bienes a cargo de los cuentadantes. 
La OCI asigna avance del 10%, pasando del 90 al 100%. 
</t>
    </r>
    <r>
      <rPr>
        <b/>
        <sz val="11"/>
        <color rgb="FF000000"/>
        <rFont val="Arial"/>
        <family val="2"/>
      </rPr>
      <t xml:space="preserve">
</t>
    </r>
    <r>
      <rPr>
        <sz val="11"/>
        <color rgb="FF000000"/>
        <rFont val="Arial"/>
        <family val="2"/>
      </rPr>
      <t xml:space="preserve">
</t>
    </r>
  </si>
  <si>
    <t xml:space="preserve">
Profesional Especializado  Área de Adquisiciones
</t>
  </si>
  <si>
    <t>Toma física de inventarios de bienes.
La Universidad del Cauca durante el 2013 y a la fecha de auditoría (septiembre de 2014) no ha realizado la toma física de inventarios de todos sus bienes muebles en servicio (en 2011 y 2012 se realizó en forma parcial), ni ha realizado la revisión de su vida útil. Además, en las visitas realizadas a las Facultades de Ingeniería Electrónica, Ingeniería Civil, CECAV, UNILINGUA se evidenció que la información registrada en el SRF de bienes devolutivos en servicio (A22) difiere en cuanto al nombre del funcionario responsable (Cuentadante) y el lugar de trabajo. La Entidad responde que efectuó revisión física de los bienes en servicio durante el 2013 y anexa formatos suscritos por 107 funcionarios, de los cuales 37 no tienen elementos asignados; lo anterior en respuesta a requerimientos enviados en el 2011 y 2012.   
Situaciones que no permiten tener información consistente ni confiable de la propiedad, planta y equipo, ni la aplicación del principio de contabilidad de revelación plena, que generan incertidumbres en los saldos revelados en los estados contables a diciembre de 2013 en las cuentas pertenecientes al grupo 16, principalmente de la Unidad 01 la 1660 por $7.952.732.646 y la 1665 por $1.955.582.395.</t>
  </si>
  <si>
    <t xml:space="preserve">Desconocimiento y aplicación de los procedimientos técnicos contables expedidos por la CGN, deficiencias en los mecanismos de control y seguimiento, ausencia de capacitación al personal del área de adquisiciones e inventarios y baja difusión de los procedimientos.
</t>
  </si>
  <si>
    <t>Establecer y aplicar controles efectivos a la  identificación y registro de los  bienes muebles institucionales.</t>
  </si>
  <si>
    <t xml:space="preserve">Realizar la toma física del inventario, mediante el proceso de marcación con tecnología vigente.
</t>
  </si>
  <si>
    <t>Proyecto de marcación implementado</t>
  </si>
  <si>
    <t>19.1. Activos con Tag blando
19. 2. Activos con Tag duro
19. 3. Activos Rotulados
19. 4. Controlados_Rotulados_firmado
19. 5. Controlados_TagBlando_firmado</t>
  </si>
  <si>
    <r>
      <t xml:space="preserve">"Mediante Oficio 5.4.5-92/3456 del 24/11/2022 el Área de adquisiciones e inventarios, envió el registro de los bienes marcados de acuerdo al proyecto planteado en el Plan de Desarrollo institucional, Bienes Activos identificados con: 
Tag RFID Blando: 3085
Tag RFID Duro: 6089
Activos Rotulados: 960
Con oficio 5.4.5-92.8/3735 del 19/12/2022, el Área de adquisiciones e inventarios remitió las evidencias de los bienes: 
Controlados rotulados: 627
Controlados Tag RFID blando: 2136
El total de bienes marcados fue: </t>
    </r>
    <r>
      <rPr>
        <b/>
        <sz val="11"/>
        <color rgb="FF000000"/>
        <rFont val="Arial"/>
        <family val="2"/>
      </rPr>
      <t xml:space="preserve">12.897
OCI: </t>
    </r>
    <r>
      <rPr>
        <sz val="11"/>
        <color rgb="FF000000"/>
        <rFont val="Arial"/>
        <family val="2"/>
      </rPr>
      <t>Se evidencia que el Área de Adquisiciones e inventarios realizó la marcación de acuerdo a lo programado en el proyecto del Plan de Desarrollo Institucuionsl, dando así cumplimiento a la actividad planteada, por lo que el avance pasa del 55% al 100%.</t>
    </r>
    <r>
      <rPr>
        <b/>
        <sz val="11"/>
        <color rgb="FF000000"/>
        <rFont val="Arial"/>
        <family val="2"/>
      </rPr>
      <t xml:space="preserve"> </t>
    </r>
  </si>
  <si>
    <t xml:space="preserve">Bienes de museo en custodia.
“Acta de Ingreso Provisional de Elementos No. 27”, suscrita el 30 de agosto de 2000, mediante la cual la Universidad del Cauca entregó de manera  provisional, los elementos de museo en custodia la Entidad identificada con NIT 891580000-0; oficio G-109 del 12-04-2000 del Banco de la República y Acta de entrega suscrita el 29-08-2000, Ley general de patrimonio cultural No.397 del 7-08-1997, Ley 1130 del 15-02-2007,  Ley 599 del 24-07-2000 y Acuerdo 043 de 2002.
Los bienes de la Universidad del Cauca revelados como joyas, entregadas en custodia provisional desde el año 2000, objeto de verificación fiscal en esta auditoría, se encuentran en dos cajas de madera (la caja 2 contiene diez sobres de manila), presentan inconsistencias entre los elementos descritos por la Entidad en su aplicativo SRF, con lo existente y los registros documentales de los inventarios de bienes históricos y culturales; situación que genera riesgos de pérdida, por las siguientes situaciones:
a) Los bienes entregados en custodia y relacionados por la Entidad en los documentos de entrega, no cuentan con registros fotográficos que permitan una identificación física para facilitar un adecuado control y verificación; con el agravante que la entrega de éstos no se encuentra respaldada en títulos de custodia. . </t>
  </si>
  <si>
    <t>Debilidades en los mecanismos de control y seguimiento a los bienes muebles y culturales, ineficiente gestión al no atender compromiso institucional para contar con bóveda en el Museo Mosquera para guardar estas piezas históricas, e inobservancia de las medidas legales para salvaguardar, valorar y difundir el patrimonio cultural de la Nación.</t>
  </si>
  <si>
    <t>Establecer y aplicar controles efectivos a la administración,  custodia, registro y seguimiento  de los  bienes históricos de  Arte y Cultura de  la Universidad.</t>
  </si>
  <si>
    <t xml:space="preserve">Construir un documento sobre el diagnóstico situacional y  requerimientos de apropiación, conservación y difusión por  la  Universidad  </t>
  </si>
  <si>
    <t>Documento diagnóstico</t>
  </si>
  <si>
    <t>El Profesional Especializado de la División de Gestión de Cultura, comunicó que el documento “Diagnostico para el traslado de la colección desde la Curía a la Universidad del Cauca”, presentado en el 2020 por la antropóloga y arqueóloga contratista María Eugenia Orejuela, contiene las consideraciones políticas y jurídicas en lo referente al patrimonio cultural de la nación, los protocolos y diagnóstico de la colección de metalurgia prehispánica e histórica que se encuentra guardada en la bóveda de la curia arzobispal, concluye la existencia de 212 piezas (11 piezas de colección histórica, 201 piezas de colección prehispánica) y define criterios para su traslado.
Adicionalmente aclaró que la curía tiene definido protocolos para ingreso a la bóveda por lo que la Universidad del Cauca debe acogerse.</t>
  </si>
  <si>
    <t xml:space="preserve">
Existe docuemento diagnostico</t>
  </si>
  <si>
    <t xml:space="preserve">
Profesional Especializado  División de la Gestión de la Cultura
</t>
  </si>
  <si>
    <r>
      <t>b) Estos elementos están contabilizados con valores poco representativos en comparación con el valor razonable de los bienes muebles de carácter histórico y cultural, toda vez que según los párrafos 191 y 195 contenido en el Marco Conceptual del Régimen de Contabilidad Pública, los bienes de arte y cultura “se reconocen por su costo histórico y no son susceptibles de actualización”.</t>
    </r>
    <r>
      <rPr>
        <b/>
        <sz val="11"/>
        <color rgb="FF000000"/>
        <rFont val="Arial"/>
      </rPr>
      <t xml:space="preserve"> </t>
    </r>
    <r>
      <rPr>
        <sz val="11"/>
        <color rgb="FF000000"/>
        <rFont val="Arial"/>
      </rPr>
      <t>Sin embargo en el Acta de entrega que hizo al Banco de la República en 1982 por parte de la Universidad, se relacionan “elementos sin precio”, no permite tener certeza si están registrados o no en la contabilidad.</t>
    </r>
  </si>
  <si>
    <t>Establecer mecanismos que conduzcan a la revelación contable de los  bienes de carácter históricos y Cultural en custodia de la Arquidòcesis de Popayán.</t>
  </si>
  <si>
    <t>Documentar, socializar y someter a aprobación de la Arquidiócesis de Popayán,   los protocolos de seguimiento de las piezas patrimoniales para  verificación de su existencia y valoración.</t>
  </si>
  <si>
    <t>Protocolos documentados y socializados</t>
  </si>
  <si>
    <t>2024: Resultado de la asesoría realizada por la Oficina de Control Interno, como consta en acta N° 2.6-3.11/06 del 16/05/2024,  la Vicerrectoría de Cultura con comunicación 7.2-55.6/319 del 14/06/2024 notificó que la Universidad del Cauca se acoge a los protocolos establecidos por la Curia para el acceso a la bóveda, respecto de los bienes que se encuentran alojados en la misma.
Con oficios 7.2-55.6/261 del 17/05/2024 y  7.2-55.6/313 del 11/06/2024 la División de Gestión de la Cultura de la Universidad del Cauca solicitó acceso a la bóveda para la verificación de la marcación y registro de las piezas bajo su custodia.</t>
  </si>
  <si>
    <t>Los bienes históricos y culturales de propiedad de la Universidad del Cauca estan en custodia de la Curia Arzobispal, que cuenta con una bóveda y con unos protocolos propios para su ingreso, por lo que, no es procedente que la Universidad del Cauca establezaca protocolos adicionales para el ingreso, razón por la que la Universidad debe aplicar los definidos por la Curia.
Igualmente, el documento “Diagnóstico para el traslado de la colección desde la Curía a la Universidad del Cauca”, realizado en el 2020 por la contratista especialista en antropología y arqueología, contiene las consideraciones políticas y jurídicas referentes al patrimonio cultural de la nación, los protocolos y diagnóstico de la colección de metalurgia prehispánica e histórica que se aplicó para el ingreso a la bóveda de la Curia Arzobispal.
Por lo anterior, se cierra la actividad, sin embargo se hace necesario continuar con las gestiones para la consulta del estado de los bienes en custodía de la Curía, y con la actualización del procedimiento Actualización de los Registros e Inventarios de las Colecciones Museográficas - PA-GU-7.2- IN-1, versión 1 del 27-07-2021, publicado en el Banner Programa Lvmen</t>
  </si>
  <si>
    <t>d) Entre el Área de Adquisiciones e Inventarios y la Vicerrectoría Administrativa, no es consistente la información reportada sobre elementos perdidos, por cuanto revisados los documentos suministrados a la auditoría y los registros en los sistemas de información, se detectó que no hay conocimiento y revelación oportuna de los hechos en ambas Dependencias de todos los siniestros ocurridos. En el Área de Adquisiciones e Inventarios no se reportó: 1 Cámara de Video Sony por $16.659.920, 1 Equipo Móvil y 1 PC portátil (junio y julio de 2013) por $3.475.000 y daños de equipos eléctricos y electrónicos sin cuantía; mientras que en Vicerrectoría Administrativa se desconocía la pérdida de: 4 video proyectores, 2 PC Portátil DELL y 1 PC Portátil Toshiba, registrados por $15.993.963. 
e) Existiendo bienes devolutivos perdidos por $10.078.446 que a diciembre de 2013 no habían endilgado responsabilidad a los funcionarios que tenían a cargo los bienes y a octubre 17 de 2014  no han sido recuperados ni devueltos</t>
  </si>
  <si>
    <t>Establecer y aplicar controles efectivos para el registro y seguimiento  de los bienes que han sido objeto de pérdida, hurto o daño.</t>
  </si>
  <si>
    <t>II semestre 2024:
La OCI evidenció la publicación del Acuerdo Superior 052 de 12/12/2024, que expide normas generales sobre la clasificación, administración y custodia de los bienes de propiedad de la Universidad del Cauca y deroga el Acuerdo 043 de 2002.
Se asigna el 100% de avance</t>
  </si>
  <si>
    <t>Realizar un inventario físico  y registro fotográfico de los bienes históricos de arte y cultura  en custodia  y ajustar  la   información con los documentos que respaldan su existencia.</t>
  </si>
  <si>
    <t xml:space="preserve"> Inventario actualizado de bienes históricos en custodia.</t>
  </si>
  <si>
    <t>Para el II semestre de 2024 se reportó:
Con oficio 7.2-55.6/06 del 16/01/2025 el Profesional Especializado de la División de Gestión de la Cultura de la Vicerrectoría de Cultura y Bienestar solicitó al Área de Adquisiciones e Inventarios el reporte de elementos registrados en el SRF que se encuentran ubicados en la bóveda de la curia arzobispal.</t>
  </si>
  <si>
    <t>II semestre 2024:
Revisados los reportes presentados por el Área de adquisiciones e inventarios denominados:
"REPORTE REGISTRO DE ELEMENTOS PATRIMONIALES REGISTRADOS A LA FECHA"
"Reporte_Activos_PASTORAL SOCIAL ARQUIDIOCESANA DE POPAYAN"
El reporte generado por el Sistema de Recursos Físicos del 16/01/2025, que contiene siete páginas describe el ítem "Personal: PASTORAL SOCIAL ARQUIDIOCESANA DE POPAYAN" y presenta un total de 121 elementos detallando artículo, placa, descripción, y valor.
Se cierra la actividad.</t>
  </si>
  <si>
    <r>
      <t>b) Estos elementos están contabilizados con valores poco representativos en comparación con el valor razonable de los bienes muebles de carácter histórico y cultural, toda vez que según los párrafos 191 y 195 contenido en el Marco Conceptual del Régimen de Contabilidad Pública, los bienes de arte y cultura “se reconocen por su costo histórico y no son susceptibles de actualización”.</t>
    </r>
    <r>
      <rPr>
        <b/>
        <sz val="11"/>
        <color rgb="FF000000"/>
        <rFont val="Arial"/>
      </rPr>
      <t xml:space="preserve"> </t>
    </r>
    <r>
      <rPr>
        <sz val="11"/>
        <color rgb="FF000000"/>
        <rFont val="Arial"/>
      </rPr>
      <t xml:space="preserve">Sin embargo en el Acta de entrega que hizo al Banco de la República en 1982 por parte de la Universidad, se relacionan “elementos sin precio”, no permite tener certeza si están registrados o no en la contabilidad.
</t>
    </r>
  </si>
  <si>
    <t>Realizar el avalúo de los bienes históricos de arte y cultura en custodia y actualizar técnicamente  su información contable.</t>
  </si>
  <si>
    <t xml:space="preserve">Documento de avalúo </t>
  </si>
  <si>
    <t>Puntaje Total</t>
  </si>
  <si>
    <t>SEGUIMIENTO PLAN DE MEJORAMIENTO - CONTRALORÍA GENERAL DE LA REPÚBLICA AUDITORÍA VIGENCIA 2020</t>
  </si>
  <si>
    <t>Auditoría Externa vigencia 2020</t>
  </si>
  <si>
    <t>Cuentas por Cobrar por Estampillas (A).
Revisada la cuenta por cobrar por estampilla, se observa que la entidad realiza el reconocimiento del recaudo del concepto estampilla “Universidad del Cauca 180 Años” en la cuenta contable 131113 Estampillas, de manera trimestral, incumpliendo con lo estipulado en el artículo 108 del Acuerdo Superior 012 de 2012, toda vez que existe la obligatoriedad de realizar el reconocimiento de manera mensual.</t>
  </si>
  <si>
    <t>Deficiencias en el sistema de control interno contable, consistente en el control del recaudo de los recursos provenientes de la estampilla 180 Universidad del Cauca.</t>
  </si>
  <si>
    <t xml:space="preserve">Establecer controles al Sistema de Control Interno, en las etapas de causación, registro y conciliación del recaudo de estampilla "Universidad del Cauca 180 años". </t>
  </si>
  <si>
    <t xml:space="preserve">Conciliar  mensualmente la información reportada por el ente recaudador de los recursos de estampilla con los registros de facturación de la Universidad. </t>
  </si>
  <si>
    <t>Registro de conciliación mensual formalizado e implementado.</t>
  </si>
  <si>
    <t xml:space="preserve">La División de Gestión Financiera con oficio 5.2-52.2/0067 del 09/06/2022 remitió: 
Reporte en excel de conciliación mensual Estampillas, entre el reporte de RFAE del sistema Squid y extractos de la cuenta del Banco de Bogotá 520371014 TGD Estampilla Universidad del Cauca 180 años,  de noviembre 2021 a abril 2022.
OCI:
Se evidencia el cumplimiento de la acción de mejora, por lo que el avance pasa del 75% al 100%. </t>
  </si>
  <si>
    <t xml:space="preserve">
Profesional Especializado División Gestión Financiera
Profesional Especializado Tesorería
Profesional Especializado Contabilidad</t>
  </si>
  <si>
    <t xml:space="preserve">Causar la cuenta por cobrar con periodicidad mensual por concepto del recaudo de estampilla "Universidad del Cauca 180 años". </t>
  </si>
  <si>
    <t>Nota de contabilidad mensual.</t>
  </si>
  <si>
    <t xml:space="preserve">Notas contables: 
01-D917-202100215 13-12-2021 (Noviembre)  
01-D917-202100234 31-12-2021 (Diciembre)
01-D917-202200008 31-01-2022 (Enero) 
01-D917-202200049 08-04-2022 (Febrero)
01-D917-202200052 20-04-2022 (Marzo)
01-D917-202200086 31-05-2022 (Abril)
01-D917-202200087 31-05-2022 (Mayo) </t>
  </si>
  <si>
    <t xml:space="preserve">División de Gestión Financiera con oficio 5.2-52.2/0067 del 09/06/2022 remitió las Notas contables de causación de noviembre del 2021 a mayo de 2022, así: 
01-D917-202100215 13-12-2021 (Noviembre)  
01-D917-202100234 31-12-2021 (Diciembre)
01-D917-202200008 31-01-2022 (Enero) 
01-D917-202200049 08-04-2022 (Febrero)
01-D917-202200052 20-04-2022 (Marzo)
01-D917-202200086 31-05-2022 (Abril)
01-D917-202200087 31-05-2022 (Mayo) 
OCI: 
Las Notas Contables evidencian el cumplimiento de la acción de mejora, conforme la unidad de medida, por lo que el avance pasa del 58% al 100%. </t>
  </si>
  <si>
    <t>Profesional Especializado División Gestión Financiera
Profesional Especializado Tesorería
Profesional Especializado Contabilidad</t>
  </si>
  <si>
    <t>Cuentas por Cobrar por Servicios Educativos (A-D).
Verificado el libro auxiliar cuenta contable 131701 Servicios Educativos, se identificaron 636 registros con saldos superiores a 365 días por $509.548.583, para los cuales no se realizó el respectivo cálculo del deterioro, el cual se debió estimar y reconocer en cuantía de $356.684.008, equivalente al 70% del saldo en libros, por tratarse de deudas superiores a más de doce meses de mora. Mediante comunicaciones 5.2-52.5/060 y 5.2-52.5/064 del 26 y 29 de marzo de 2021, respectivamente, la Administración universitaria informa que dentro de los planes de mejoramiento suscritos por la Universidad del Cauca, se encuentra el estudio del mecanismo para el cálculo adecuado del deterioro, para lo cual se ha solicitado la contratación de un experto con el fin de adelantar el análisis, revisión, creación o modificación de las políticas contables y la implementación de las guías o instructivos necesarios para determinar el valor del deterioro.</t>
  </si>
  <si>
    <t>La Universidad del Cauca tiene definidos criterios para la determinación del valor del deterioro de las cuentas por cobrar, de acuerdo con lo estipulado en el artículo 22 del Acuerdo Superior 052 de 2009. El hecho es consecuencia de la inobservancia de los reglamentos establecidos por el ente universitario, situación que genera como consecuencia una sobrestimación de la cuenta 131701 Servicios Educativos por $356.684.008, cuya contrapartida es la cuenta 5370 Deterioro de Cuentas por Cobrar. Hallazgo con presunta incidencia disciplinaria.</t>
  </si>
  <si>
    <t xml:space="preserve">Aplicar los lineamientos de las políticas contables al cálculo de deterioro a la subcuenta 131701 - Servicios Educativos, del grupo 13 Cuentas por cobrar. </t>
  </si>
  <si>
    <t xml:space="preserve">Documentar herramienta para el cálculo de deterioro de la  subcuenta 131701 - Servicios Educativos, del grupo 13 Cuentas por cobrar, conforme a los lineamientos de las políticas contables.  </t>
  </si>
  <si>
    <t>Herramienta documentada</t>
  </si>
  <si>
    <t xml:space="preserve">*PA-GA-5.4.5-IN-2 Instructivo para cálculo de Deterioro de Activos no Generadores de Efectivo V1.pdf
*PA-GA-5-IN-5 Instructivo para cálculo de Deterioro de Valor de Cuentas por Cobrar V1.
*Acuerdo Superior 084 de 2021 Actualiza y/o se establecen las Políticas Contables de la Universidad del Cauca y se deroga el Acuerdo 012 de 2018
</t>
  </si>
  <si>
    <t xml:space="preserve">La División de Gestión Financiera con oficio 5.2-52.2/0067 del 09/06/2022, remitió los link que evidencian la publicación de las siguientes herramientas documentadas: 
*PA-GA-5.4.5-IN-2 Instructivo para cálculo de Deterioro de Activos no Generadores de Efectivo V1.pdf
*PA-GA-5-IN-5 Instructivo para cálculo de Deterioro de Valor de Cuentas por Cobrar V1.
*Acuerdo Superior 084 de 2021 Actualiza y/o se establecen las Políticas Contables de la Universidad del Cauca y se deroga el Acuerdo 012 de 2018
Observación OCI: 
Se verificó que las herramientas elaboradas para el cálculo del deterioro de activos no gereradores de efectivo y del valor de cuentas por cobrar, se formalizaron y publicaron en la página Web Institucional- Programa LVMEN, y el  Acuerdo Superior 084 de políticas contables, en la página web Institucional- Documentos Públicos, Acuerdos. 
Por lo anterior, el avance pasa del 80% al 100%. </t>
  </si>
  <si>
    <t>Vicerrector(a) Administrativo (a) 
Profesional Especializado División Gestión Financiera
Profesional Especializado Contabilidad</t>
  </si>
  <si>
    <t xml:space="preserve">Implementar herramienta para el cálculo de deterioro de la  subcuenta 131701 - Servicios Educativos, del grupo 13 Cuentas por cobrar, conforme a los lineamientos de las políticas contables.  </t>
  </si>
  <si>
    <t xml:space="preserve">La División de Gestión Financiera con oficio 5.2-52.2/0174 del 30/06/2023 envió: 
-Oficio 5-84-0283 Remisión evidencias Grupo cartera
-Documento PDF que contiene los cálculos de reversión del deterioro de estudiantes de pregrado de estrato 1 (cuyo % anterior era inconsistente), y sus debidas notas contables. 
-Documento PDF que contiene los cálculos de reversión del deterioro de proyectos y sus notas contables.
-Notas de contabilidad reversión de deterioro por Recuperación de cartera.
-Documento PDF que indica el porcentaje y valor a deteriorar, para cuentas al 2021, y sus notas contables. 
-Documento PDF que indica el porcentaje y valor a deteriorar y nota de contabilidad deterioro 2021 Posgrado
--Documento PDF que indica el porcentaje y valor a deteriorar y nota de contabilidad deterioro 2021 Pregrado
--Documento PDF que indica el porcentaje y valor a deteriorar y nota de contabilidad deterioro 2021 Proyectos </t>
  </si>
  <si>
    <t xml:space="preserve">
2023: Se evidencia la reversión del deterioro de cuentas estudiantes de pregrado estrato 1, cuyos porcentajes aplicados en el cálculo realizado en la vigencia 2022 eran incorrectos, por lo que el porcentaje disminuyó, del 9.32% al 6.36%, además, se observa la aplicación del deterioro de las cuentas por cobrar a estudiantes de pregrado, posgrado y proyectos, con sus notas de contabilidad de ajuste. 
Con la verificación de la aplicación de las herramientas elaboradas para el cálculo del deterioro, se otorga un 100% de avance. Sin embargo, se evaluará la efectividad de la mejora en seguimientos posteriores. </t>
  </si>
  <si>
    <t>Cuentas por Cobrar Servicios Educativos con Saldos Negativos (A).
Verificado el libro auxiliar de la cuenta contable 131701 Servicios Educativos, se identificaron registros de terceros con saldos negativos por $220.845.389, generados por errores relacionados con re-expresión de saldos en transición al nuevo marco normativo y/o entre terceros y, errores en el flujo de información entre el sistema de facturación y recaudo SQUID y el sistema de información contable y financiero FINANZAS PLUS</t>
  </si>
  <si>
    <t xml:space="preserve"> Por deficiencias en el control interno contable, consistente en la verificación de saldos, situación que genera inconsistencias en el detalle de la información contable</t>
  </si>
  <si>
    <t xml:space="preserve">Establecer controles al Sistema de Control Interno, en cuanto al reconocimiento e identificación de la subcuenta 131701-Servicios Educativos y la subcuenta 138490 - Otras cuentas por cobrar, del grupo 13 Cuentas por cobrar.   </t>
  </si>
  <si>
    <t xml:space="preserve">Ajustar los saldos de la subcuenta 131701-Servicios Educativos y la subcuenta 138490 - Otras cuentas por cobrar, del grupo 13 Cuentas por cobrar. </t>
  </si>
  <si>
    <t>Nota contabilidad</t>
  </si>
  <si>
    <t xml:space="preserve">
La División de Gestión Financiera con oficio 5.2-52.2/0174 del 30/06/2023 relacionó 606 notas contables del ajuste, informando que el valor total es de $216.004.891,54, y que corresponden a 1042 terceros, se verificaron algunas notas contables, así: 
D901- 202100001, D924- 202100257, D924- 202100075, D924- 202200018, D924- 202200478, D924- 202200502, D924- 202300218, D924- 202300334, D900- 202300069</t>
  </si>
  <si>
    <t xml:space="preserve">2023: En la revisión aleatoria a una muestra de notas de ajuste contable, se observaron los ajustes de los saldos de las cuentas 131701 y 138490. 
Se da cumplimiento a la actividad en un 100%. </t>
  </si>
  <si>
    <t xml:space="preserve">
Profesional Especializado División de Gestión Financiera
Profesional Especializado Contabilidad
</t>
  </si>
  <si>
    <t>Cuentas por Cobrar Inexistentes y/o sin Amortizar (A).
Verificado el libro auxiliar cuenta contable 131701 Servicios Educativos, se identificaron saldos, los cuales, de acuerdo con las comunicaciones 5.2-52.5/060 y 5.2-52.5/064 del 26 y 29 de marzo de 2021, la Administración informa que se trata de valores cancelados y/o reportados para su anulación, por presentarse inconsistencia relacionadas con la necesidad de depuración y/o anulación del registro</t>
  </si>
  <si>
    <t>Por deficiencias en el control interno contable, consistente en la verificación de saldos al momento de emitir estados financieros, situación que genera sobrestimación en la cuenta contable 131701 Servicios Educativos por $135.635.221, cuya contrapartida es la cuenta 4305 Servicios Educativos.</t>
  </si>
  <si>
    <t xml:space="preserve">Establecer controles al Sistema de Control Interno, en cuanto al reconocimiento e identificación de la subcuenta 131701-Servicios Educativos, del grupo 13 Cuentas por cobrar.   </t>
  </si>
  <si>
    <t>Generar el reporte de facturas anuladas con financiación sin abono</t>
  </si>
  <si>
    <t xml:space="preserve">Reporte generado </t>
  </si>
  <si>
    <t>Hallazgo 4 2020. ANULADAS CON CORTE 25 DE JUNIO DE 2021</t>
  </si>
  <si>
    <t>En el seguimiento realizado el 28/11/2022, como consta en acta 2.6-1.60/19,  se evidenció que ya se identificó la totalidad de facturas anuladas con financiación sin abono, por lo que el avance pasó del 80% al 100%.</t>
  </si>
  <si>
    <t xml:space="preserve">Vicerrector(a) Administrativo (a) </t>
  </si>
  <si>
    <t xml:space="preserve">Ajustar los saldos de la subcuenta 131701-Servicios Educativos, del grupo 13 Cuentas por cobrar. </t>
  </si>
  <si>
    <t>Notas de contabilidad: D901-202100044, 
D901-202100014, D901-202100017, D901-202100045</t>
  </si>
  <si>
    <t>Con oficio 5.2-52.5/697 del 21/12/2022, la División de Gestión Financiera remitió las notas de contabilidad del ajuste de los saldos de la subcuenta 131701, las Notas de contabilidad soportan el valor del hallazgo por $135.635.221, las cuales se pueden consultar por la forma CMDC en el Sistema Financiero Finanzas, se adjuntan como muestra de evidencia cuatro notas adjuntas:
D901-202100014; D901-202100017; D901-202100043; D901-202100044; D901-202100045; D921-202100030; D901-202100046; D901-202100047; D901-202100048; D901-202100049; D901-202100050; D901-202100052; D901-202100053; D901-202100054; D901-202100056; D901-202100064; D924-202200449.
El avance pasa del 80% al 100%.</t>
  </si>
  <si>
    <t xml:space="preserve">Profesional Especializado División de Gestión Financiera
Profesional Especializado Contabilidad </t>
  </si>
  <si>
    <t xml:space="preserve">Otras Cuentas por Cobrar con Saldos Negativos (A)
Verificado el libro auxiliar cuenta contable 138490 Otras Cuentas por Cobrar, se identificaron saldos negativos con cargo a terceros, por $32.614.879. </t>
  </si>
  <si>
    <t>Por deficiencias en el control interno contable, consistente en la verificación de saldos, situación que genera inconsistencias en el detalle de los registros que soportan los estados financieros.</t>
  </si>
  <si>
    <t xml:space="preserve">Establecer controles al Sistema de Control Interno, en cuanto al reconocimiento e identificación la subcuenta 138490 - Otras cuentas por cobrar, del grupo 13 Cuentas por cobrar.   </t>
  </si>
  <si>
    <t>Generar el reporte de facturas con intereses causados</t>
  </si>
  <si>
    <t>Hallazgo 5 2020. REPORTE INTERESES CAUSADOS CORTE A 30 JUNIO 2021</t>
  </si>
  <si>
    <t>En el seguimiento realizado el 23/11/2022, como consta en acta 2.6-1.60/19,  se evidenció que ya se identificó la totalidad de facturas con intereses causados, por lo que el avance pasó del 80% al 100%.</t>
  </si>
  <si>
    <t xml:space="preserve">Ajustar los saldos de la subcuenta 138490 - Otras cuentas por cobrar, del grupo 13 Cuentas por cobrar. </t>
  </si>
  <si>
    <t>La División de Gestión Financiera con oficio 5.2-52.2/0174 del 30/06/2023 relacionó 191 notas contables de ajuste, por valor total de $32.614.879,79, que corresponden a 712 terceros, se verificaron algunas notas contables, así: 
D901-201900244, D918-201900133, D918-202200374, D924-202200077, D924-202200479, D924-202300068, D924-202300142, D924-202300156, D924-202300290, D924-202300355</t>
  </si>
  <si>
    <t xml:space="preserve">2023: Verificada la muestra de notas contables, de manera aleatoria, se evidenció el ajuste a los saldos negativos mencionados en el hallazgo, por lo que se da un cumplimiento del 100% a la actividad. 
Sin embargo, el hallazgo será objeto de seguimiento para la valoración de efectividad. </t>
  </si>
  <si>
    <t xml:space="preserve">Profesional Especializado División Gestión  Financiera 
Profesional Especializado Contabilidad
</t>
  </si>
  <si>
    <t>Otras Cuentas por Cobrar por Enajenación de Activos (A).
En los estados financieros con corte a 31 /12/2020, cuenta contable 138416 Enajenación de Activos, se reveló un saldo de $624.500.000; verificado el libro auxiliar, se evidenció que dicho valor corresponde a la re-expresión de saldos al nuevo marco normativo con fecha de registro 31/12/2017. En oficio 5.2-52.5-07 del 14 /04/2021, la entidad informa que el registro corresponde al saldo que la Unidad 01 Gestión General adeuda a la Unidad 02 Unisalud, por la cesión funcional interna del lote de terreno donde se construyó la Facultad de Humanas (Calle 5 N°4-07 y Cra. 4 N°5-24 Popayán), antes de la aplicación de las Normas Internacionales de Contabilidad para el Sector Público (NICSP), transacción realizada por $1.249.000.000, con abonos del 50% y el saldo registrado como cuenta por cobrar. La transacción fue realizada con Resolución R1070 del 21/12/2015 en la cual, en el numeral 4 del considerando, señala los siguientes compromisos: “En su item 1, la Unidad 01 se compromete a transferir a la Unisalud Unidad 02, la suma de $624.500.000, en el mes de 09/2015 e igual suma el 15/09/2016, para un total de $1.249.000.000, como pago del lote que será utilizado para la construcción del Edificio de la Facultad de Ciencias Humanas y Sociales.” A la fecha, la Universidad del Cauca no ha cumplido con el compromiso estipulado para el 15/09/2016, revelando en los estados financieros una cuenta por cobrar con más de cuatro años de morosidad.</t>
  </si>
  <si>
    <t>Por incumplimiento de los compromisos suscritos por la Administración de la entidad universitaria, situación que genera el reconocimiento de saldos con morosidad en los estados financieros de la entidad.</t>
  </si>
  <si>
    <t>Adelantar mecanismos tendientes a establecer los valores reales que debe cancelarse a la Unidad de Salud por parte de la Unidad 1 - Gestión General de la Universidad del Cauca</t>
  </si>
  <si>
    <t>Determinar los conceptos y valores  asumidos por la Unidad 1 respecto del funcionamiento de la Unidad de Salud.</t>
  </si>
  <si>
    <t>Reporte de gastos asumidos por la Unidad 1 de la Unidad 2 en servicios de servicios de seguridad, servicio de aseo, mantenimiento de instalaciones físicas y representación judicial, entre otros.</t>
  </si>
  <si>
    <t>Con oficio 5.2-52.5/667 del 07/12/2022, la División de Gestión Financiera remitió oficio solicitando el replanteamiento de la actividad, sin embargo, en la reunión de seguimiento realizada el 23/11/2022, la OCI recalcó que la actividad no puede ser reformulada porque se encuentra en incumplimiento, y además, se debía informar a la Dirección o a la Vicerrectoría Administrativa. 
Por lo anterior, y debido a que no se presentó evidencias de la actividda, no se asigna avance y continúa en 0%. 
Los miembros del comite tecnico de sostenibilidad contable en el acta 5.2-1.84/001 del dia 22 de diciembre del 2022 informa que la obligacion existente con la unidad 2, de salud, con el bien inmueble adquirido por la unidad 1 no es objeto de amortizacion con otros gastos, pues los mismos hacen parte de otro tipo de acuerdos, por lo cual la actividad se encuentra en un 100% considerando el analisis realizado por la Division de Gestion Financiera.</t>
  </si>
  <si>
    <t xml:space="preserve">
Profesional Especializado División Gestión Financiera
Profesional Especializado Contabilidad
Profesional Especializado Tesorería
Profesional Especializado Presupuesto</t>
  </si>
  <si>
    <t>Elaborar informe de gastos</t>
  </si>
  <si>
    <t>Informe de gastos</t>
  </si>
  <si>
    <t>Formalizar los términos de amortización de lo adeudado por la Unidad 1 a la Unidad 2 (si lo hubiera)</t>
  </si>
  <si>
    <t>Registro de formalización</t>
  </si>
  <si>
    <t xml:space="preserve">I semestre 2024:
La Unidad de Salud con oficio 10.1-55.6/512 del 2024 informó que realizó una solicitud a la Unidad 1 de la Universidad del Cauca para que se allegue certificado de tradición y avalúo del lote del frente de la Facultad de Educación, que se ofreció como parte de pago.
La Vicerrectoría Administrativa con oficio 5-55.6/0496 del 17/07/2024 remitió los documentos solicitados por el Consejo de la Unidad de Salud, para tomar la decisión de aceptación o rechazo del lote propuesto por la Unidad 1, y un oficio en el que se actualiza el valor de la inversión presupuestal para el desarrollo del software como parte de pago: 
1. Oficio 5-55.6/472 del 09/07/2024 de remisión documentos solicitados por el Consejo
2. Oficio 5-55.6/490 del 16/07/2024 ampliación oficio 5-55.6/472, en el que se remite el informe presupuestal del proyecto 
II semestre 2024:
El Consejo de la Unidad de Salud remitió el oficio 10.1-55.6/932 del 18/11/2024. </t>
  </si>
  <si>
    <t xml:space="preserve">II Semestre 2024:
El Consejo de la Unidad de Salud comunicó que para dar cumplimiento a la acción de mejora formulada, es necesario reunirse con el señor rector, y llegar a un acuerdo de pago; por lo que solicitó una ampliación de la actividad hasta el 30/01/2025.
Respecto de lo anterior, la OCI con oficio 2.6-27.13/423 del 21/11/2024 concedió el plazo e informó que mantendría el avance de los seguimientos anteriores (33%), hasta que se formalice un acuerdo de pago para el total de la deuda, o se determine una solución efectiva que subsane el hallazgo. </t>
  </si>
  <si>
    <t xml:space="preserve">
Rector</t>
  </si>
  <si>
    <t>Otras Cuentas por Cobrar (A).
En los estados financieros con corte a 31 de diciembre de 2020, cuenta contable 138490 Otras Cuentas por Cobrar, se reveló un saldo de $203.750.686; verificado el libro auxiliar, se evidenciaron saldos registros con errores en la cuenta contable y/o con ausencia de amortización de pagos, los cuales tienen efecto en los saldos revelados en los estados financieros (Ver tabla N°17)</t>
  </si>
  <si>
    <t xml:space="preserve"> Por deficiencias en el control interno contable, consistente en la verificación de saldos al momento de emitir los estados financieros e inexistencia de gestiones tendientes a la recuperación de los recursos por parte de la Administración universitaria, situación que genera sobreestimación en la cuenta 138490 Otras Cuentas por Cobrar por $89.941.142, cuya contrapartida es la cuenta 4305 Servicios Educativos</t>
  </si>
  <si>
    <t xml:space="preserve">Establecer controles al Sistema de Control Interno contable, en cuanto al registro de la subcuenta 138490 Otras Cuentas por Cobrar. 
   </t>
  </si>
  <si>
    <t xml:space="preserve">Identificar y ubicar los deudores. </t>
  </si>
  <si>
    <t xml:space="preserve">Relación de deudores identificados </t>
  </si>
  <si>
    <t>Hallazgo 7. Notas de contabilidad</t>
  </si>
  <si>
    <t xml:space="preserve">Con Oficio 5-84/ 0895 del 12/12/2022, el grupo de crédito y cartera informó que el hallazgo corresponde a errores en algunos registros de la subcuenta "otras cuentas por cobrar", por lo que se realizaron los ajustes correspondientes y se remitio las notas de contabilidad que los evidencian 
Se se realizó una verificación aleatoria a las notas de contabilidad: D900-202100021, D901-202100037, D918-202100156, D918-202100217-01, evidenciando el ajuste a los saldos, por lo que el avance pasó del 80% al 100%. </t>
  </si>
  <si>
    <t>Vicerrector (a) Administrativo (a)</t>
  </si>
  <si>
    <t>Establecer controles al Sistema de Control Interno contable, en cuanto al registro de la subcuenta 138490 Otras Cuentas por Cobrar.</t>
  </si>
  <si>
    <t xml:space="preserve">Realizar las gestiones administrativas tendientes a la recuperación de cartera. </t>
  </si>
  <si>
    <t xml:space="preserve">Registros de gestiones de recuperación de cartera. </t>
  </si>
  <si>
    <t xml:space="preserve">La División de Gestión Financiera con oficio 5.2-52.2/007 del 17/11/2023 remitió las siguientes evidencias: 
1. Evidencia recuperación de cartera: solicitudes a Tesorería de traslados bancarios, notas bancarias de los traslados entre las cuentas de la Unidad 1 y la Unidad 3, registro de las transferencias de las cuentas bancarias de la Unidad 1 y 3, y  notas contables de ajuste. 
La División de Gestión Financiera mediante oficio 5.2-55.6/0628 del 12/07/2024 remitió el Acta 5.2-3.58/0027 del 09/07/2024, y de manera física allegó las notas P800 - 202400001 del 24/01/2024, D800 - 202400005 del 13/02/2024, D810 - 202400003, P803 -202400007 del 07/02/2024,  D 800 - 202400002 y D810 - 202400004 del 15/02/2024 </t>
  </si>
  <si>
    <t>I semestre 2024:
En el II semestre del 2023 se evidenciaron los traslados bancarios entre las cuentas de la Unidad 1 y la Unidad 3, con lo que se subsanó el hallazgo, sin embargo, se observaron errores en el detalle de las notas de ajuste, por lo que la OCI solicitó a la División de Gestión Financiera la implementación de controles en la elaboración y validación de los documentos en el sistema financiero, para lo que la División realizó una reunión con el personal que realiza documentos en el Sistema Financiero, incluyendo a la Unidad de Salud, para hablar sobre la importancia de digitar las observaciones de manera clara y detallada y se realizaron algunas recomendaciones relacionadas. 
Con lo anterior, la actividad pasó del 95% al 100%.</t>
  </si>
  <si>
    <t>Profesional Especializado División Gestión Financiera
Profesional Especializado Contabilidad</t>
  </si>
  <si>
    <t>Aplicar el cálculo de deterioro con los terceros que generen indicios de deterioro.</t>
  </si>
  <si>
    <t>Nota de contabilidad con los terceros que generen indicios de deterioro</t>
  </si>
  <si>
    <t xml:space="preserve">
2023: Se evidencian las notas de contabilidad de la aplicación del deterioro de cuentas por cobrar estudiantes de pregrado, posgrado y proyectos, por lo que la actividad alcanza un cumplimiento del 100%.</t>
  </si>
  <si>
    <t>Reuniones del Comité Técnico de Sostenibilidad Contable (A, D).
Solicitadas las actas y documentos del Comité Técnico de Sostenibilidad Contable, se evidenció que durante la vigencia 2020 no se adelantaron reuniones del Comité Técnico de Sostenibilidad del Sistema Contable de la Universidad del Cauca</t>
  </si>
  <si>
    <t>Por inobservancia de lo estipulado en los reglamentos internos del ente universitario, situación que incide en el ambiente de control interno de la entidad.</t>
  </si>
  <si>
    <t xml:space="preserve">Establecer controles al mejoramiento del Sistema de Control Interno Contable, a partir del rol asesor del Comité Técnico de Sostenibilidad Contable. </t>
  </si>
  <si>
    <t xml:space="preserve">Convocar y realizar las reuniones programadas por el Comité Técnico de Sostenibilidad Contable, para el mejoramiento continuo de los procesos administrativos y la consolidación de la información económica y financiera. </t>
  </si>
  <si>
    <t xml:space="preserve"> Oficios 5.2-1.84/002 del 16/07/2021 y 5.2-52.5/156 y 163 del 21/07/2021 y actas de reunión: 5.2-1.84/02 y 03 del 18/08/2021 y 20/08/2021</t>
  </si>
  <si>
    <t>La División de Gestión Financiera con oficio 5.2-52.2/042 del 26/11/2021 y la Vicerrectoría Administrativa con oficio 5-71.7/0991 del 26/11/2021 remiten los oficios de convocatoria (5.2-1.84/002 del 16/07/2021 y 5.2-52.5/156 y 163 del 21/07/2021) y actas de reunión (5.2-1.84/02 y 03 del 18/08/2021 y 20/08/2021)que evidencian las sesiones del Comité Técnico de Sostenibilidad Contable.
La OCI valida la evidencia reportada y otorga un avance del 100%</t>
  </si>
  <si>
    <t>Vicerrector (a) Administrativo (a)
Profesional Especializado División Gestión Financiera
Profesional especializado Contabilidad</t>
  </si>
  <si>
    <t>Ingresos por Matrículas (A).
Realizada la revisión de la ejecución presupuestal de ingresos mediante la muestra de matrículas financieras a través de los recursos en línea "Recibo de Matrícula" y "SIMCA" de la página web de la Universidad, con respecto a los conceptos: derechos de matrícula, derechos de grado, repeticiones, descuento por voto y descuento por beca. Ver tablas 18, 19 y 20 del informe CGR</t>
  </si>
  <si>
    <t>Por deficiencias de control presupuestal y debilidades en la coordinación y conciliación de la información de las vigencias 2019 y 2020 entre los aplicativos que intervienen en la liquidación y registro de la matrícula financiera, al no realizar los ajustes presupuestales respectivos, por tratarse de ingresos correspondientes a la vigencia anterior, generando incertidumbre en cuanto al valor real de ingresos ejecutados por los conceptos de matrícula durante la vigencia 2020.</t>
  </si>
  <si>
    <t>Armonizar la gestión de los procesos involucrados en el proceso de recaudos por concepto de matrículas</t>
  </si>
  <si>
    <t>Conformar un equipo técnico interdisciplinario para orientar las soluciones a las dificultades del proceso de cobro financiero del recaudo de matrículas de vigencias anteriores.</t>
  </si>
  <si>
    <t>Registros de la formalización</t>
  </si>
  <si>
    <t>Acta  No. 5.2-1.84/ 001 del 22/12/2022.</t>
  </si>
  <si>
    <t>Teniendo en cuenta que la Resolución R-847 de 2011, permite al Comité Técnico de Sostenibilidad Contable  asesorar, recomendar la adopción de directrices, procedimientos y políticas, en temas administrativos, económicos y financieros; se determino que este Comité es el responsable de orientar las soluciones a las dificultades del proceso de cobro financiero del recaudo de matrículas de vigencias anteriores. 
En sesión del 22/12/2022 (Acta 5.2-1.84/001) el Comité abordó los temas relacionados con el hallazgo y da instrucciones al respecto.</t>
  </si>
  <si>
    <t>Vicerrector(a) Académico (a)
Profesional División de Admisiones, Registro y Control Académico
Profesional Especializado División Financiera
Jefe Oficina de Planeación y Desarrollo Institucional</t>
  </si>
  <si>
    <t>Registros de la operatividad del equipo</t>
  </si>
  <si>
    <t xml:space="preserve">En el acta No. 5.2-1.84/ 001 del 22/12/2022, se evidencian las decisiones del Comité Técnico de Sostenibilidad Contable respecto del hallazgo, determinando la operatividad del equipo. </t>
  </si>
  <si>
    <t>Descuentos en Matrículas por Voto (A-D-F).
Realizada la verificación de ingresos mediante la muestra de matrículas financieras con respecto al concepto "Descuento Voto", al generar los recibos de los estudiantes para la vigencia 2020, a través de la opción "Recibo de matrícula" en la página web de la Universidad y confrontado con los certificados electorales aportados por la División de Admisiones, Registro y Control Académico, se evidenció que en los 5 casos de estudiantes de pregrado que se describen en la siguiente tabla, el descuento se otorgó con el certificado electoral del 17 de junio de 2018 cuando las últimas elecciones se realizaron el 27 de octubre de 2019, por tanto este certificado no era válido para la vigencia 2020</t>
  </si>
  <si>
    <t>Deficiencias de control y falta de actualización de los aplicativos que intervienen en la liquidación y registro de la matrícula financiera generando la aplicación de descuentos sin el soporte respectivo por valor de $117.000. Hallazgo con presunta incidencia disciplinaria y fiscal.</t>
  </si>
  <si>
    <t>Implementar puntos de control en el regsitro de los factores de matrícula en los estudiantes admitidos y regulares</t>
  </si>
  <si>
    <t>Elaborar e implementar protocolo guía para el registro de los fatores de liquidación de matrícula en SIMCA</t>
  </si>
  <si>
    <t>Protocolo guía implementado</t>
  </si>
  <si>
    <t>Con oficio 4.2-52.5/530 del 7 de julio de 2023, la División de Admisiones, Registro y Control Académico remitió el procedimiento PA-GA-4.2-PR-13 de "Aplicación de Descuento de Matrícula Financiera para Admitidos y Estudiantes regulares" publicado en su versión 1 el 27 de junio de 2023
Pasó de 0% a 100%</t>
  </si>
  <si>
    <t>Avance del 100% por cuanto considera las situaciones de descuento por beneficios e incientivos en la matrícula financiera a estudiantes regulares de la Universidad.</t>
  </si>
  <si>
    <t>Profesional División de Admisiones, Registro y Control Académico
Coordinación SIMCA</t>
  </si>
  <si>
    <t>deficiencias de control y falta de actualización de los aplicativos que intervienen en la liquidación y registro de la matrícula financiera generando la aplicación de descuentos sin el soporte respectivo por valor de $117.000. Hallazgo con presunta incidencia disciplinaria y fiscal.</t>
  </si>
  <si>
    <t>Conciliar los reportes extraidos de SIMCA vs documentos físicos relativos a los factores de liquidación de matrícula de estudiantes admitidos, según calendario aprobado.</t>
  </si>
  <si>
    <t>Registros de conciliación de información</t>
  </si>
  <si>
    <t>Con oficio 4.2-52.5/426 del 23 de mayo de 2023, se remiten actas 4.2-1.56/002 y 003 del 07 y 10 de marzo de 2023 respecto de la conciliación SIMCA vs documentos físicos relativos a los factores
de liquidación de matrícula de estudiantes admitidos y 
SIMCA vs documentos físicos para el
reconocimiento del descuento por voto de estudiantes regulares con el fin de aportan a
la gestión de las acciones de mejora de la vigencia 2020.
Pasó de un 0 a 100% de avance</t>
  </si>
  <si>
    <t>De la conciliación a una muestra aleatoria de 103 casos de la vigencia 2020, y 50 de la vigencia 2021, se encuentra concordancia entre la información de SIMCA y los documentos físicos relativos a los factores de liquidación de matrícula de estudiantes admitidos.</t>
  </si>
  <si>
    <t>Conciliar los reportes extraidos de SIMCA vs documentos físicos para el reconocimiento del descuento por voto de estudiantes regulares, según calendario aprobado.</t>
  </si>
  <si>
    <t xml:space="preserve">De la conciliación a una muestra aleatoria de 103 casos de la vigencia 2020, y 50 de la vigencia 2021, se encuentra concordancia entre la información de SIMCA y los documentos físicos relativos a los factores de liquidación de matrícula de estudiantes admitidos, incluido el reconocimiento del descuento por voto. </t>
  </si>
  <si>
    <t>Ejecución de Ingresos Estampilla Universidad del Cauca (AD).
Al realizar la evaluación de la ejecución presupuestal de ingresos por concepto de estampillas, a través del reporte de movimiento de ejecución presupuestal suministrado por la Universidad para la vigencia 2020 y confrontado con los comprobantes de egreso para el mismo Concepto y vigencia aportados por la Gobernación del Cauca, se evidencia inconsistencia ya que el total ejecutado por la Universidad es de $2.500.000.000 en tanto que la Gobernación informó giros por un total de $2.155.472.700. Ver Tabla N° 22 del informe C.G.R.</t>
  </si>
  <si>
    <t>Sobreestimación o Subestimación de ingresos por concepto de estampilla Universidad del Cauca 180 años, ocasionado por factores externos que afectan el comportamiento del recaudo apropiado en la vigencia</t>
  </si>
  <si>
    <t>Establecer controles a la proyección, recaudo y ejecución, a nivel presupuestal y tesoral, de los recursos provenientes de la Estampilla Universidad del Cauca 180 años.</t>
  </si>
  <si>
    <t xml:space="preserve">Registrar contable y presupuestalmente la transferencia del mayor valor recaudado con respecto de la apropiación por concepto de estampilla 180 años en la misma vigencia </t>
  </si>
  <si>
    <t>Nota crédito de tesorería</t>
  </si>
  <si>
    <t>Notas credito Tesorería N°:
D80-202110344 del 19/04/2021, D80-202110762 del 27/04/2021, D80-202115766 del 19/07/2021, D80-202123371 del 19/10/2021.
*Notas credito de bancos y sus respectivas notas de ingresos Word. 
D803-202004621 del 29/02/2020, D803-202007536 del 19/05/2020, D803-202010227 del 18/08/2020, D803-202013984 del 22/10/2020, D803-202014524 del 06/11/2020, D803-202100052 del 31/01/2021
*Notas bancarias de la gobernación y las notas bancarias de la Universidad del Cauca para ver las diferencias excel.</t>
  </si>
  <si>
    <t>La División de Gestión Financiera con oficio 5.2-52.2/042 del 26/11/2021 remite:
Notas credito Tesorería N°:
D80-202110344 del 19/04/2021, D80-202110762 del 27/04/2021, D80-202115766 del 19/07/2021, D80-202123371 del 19/10/2021.
Con oficio 5.2-52.2/001 del 11/01/2022, la División de Gestión Financiera complementó la evidencia, así: 
*Notas credito de bancos y sus respectivas notas de ingresos Word. 
D803-202004621 del 29/02/2020, D803-202007536 del 19/05/2020, D803-202010227 del 18/08/2020, D803-202013984 del 22/10/2020, D803-202014524 del 06/11/2020, D803-202100052 del 31/01/2021
*Notas bancarias de la gobernación y las notas bancarias de la Universidad del Cauca para ver las diferencias excel.
Observación OCI:
Teniendo en cuenta la explicación detallada en las notas de tesorería sobre los recaudos por concepto de estampilla Universidad del Cauca 180 años, la OCI valida el avance del 100%.</t>
  </si>
  <si>
    <t xml:space="preserve">Profesional Especializado División Gestión Financiera
 Profesional Especializado Tesorería
Profesional Especializado Presupuesto </t>
  </si>
  <si>
    <t>Revisar el comportamiento de los recaudos presupuestal y tesoral de estampilla 180 años  e informar al ordenador del gasto, para el ajuste del presupuesto de ingresos y gastos por el menor valor recaudado, con respecto de la apropiación de la vigencia</t>
  </si>
  <si>
    <t>Acto administrativo de modificación del presupuesto (Adición o disminución)</t>
  </si>
  <si>
    <t xml:space="preserve">*Archivo excel con la ejecución de ingresos trimestrales y los valores pendientes de incorporar.
* Acuerdo superior de incorporación de recursos de Estampilla universidad del Cauca N° 040 del 03 de agosto de 2021. 
* Se envia proyección de acuerdo de incorporación de Estampilla Universidad del Cauca N° 069 del 24 de agosto de 2021. (PDF de acuerdos eviados por Consejo Superior).  </t>
  </si>
  <si>
    <t>La División de Gestión Financiera con oficio 5.2-52.2/042 del 26/11/2021 remite:
*Archivo excel con la ejecución de ingresos trimestrales y los valores pendientes de incorporar.
* Acuerdo superior de incorporación de recursos de Estampilla universidad del Cauca N° 040 del 03 de agosto de 2021. 
* Se envia proyección de acuerdo de incorporación de Estampilla Universidad del Cauca N° 069 del 24 de agosto de 2021. (PDF de acuerdos eviados por Consejo Superior).  
Observación OCI: 
Se verificó la aprobación  del Acuerdo 069 del 24 de noviembre de 2021 con el cual se adiciona el presupuesto de rentas y gastos de inversión de la Universidad del Cauca - Unidad 1 - Gestión General, para la vigencia fiscal del año 2021, financiado con ingresos corrientes - estampillas.
La OCI valida la evidencia reportada y otorga un avance del 100%</t>
  </si>
  <si>
    <t>Profesional Especializado División Gestión Financiera
 Profesional Especializado Tesorería
Profesional Especializado Presupuesto</t>
  </si>
  <si>
    <t>Conformación del Expediente Contractual (A).
Adelantada la revisión de los expedientes contractuales, tanto en las carpetas físicas como digitalizadas, según muestra requerida, se evidenció lo siguiente:
A. Se cuenta con informes de los supervisores designados, sin embargo, no se encontró soporte documental que evidencie el cumplimiento del objeto contractual</t>
  </si>
  <si>
    <t>escaso implemenatacion del proceso de gestion documental en los expedientes contractuales</t>
  </si>
  <si>
    <t xml:space="preserve">implementar acciones tendientes a completar los expedientes contractuales </t>
  </si>
  <si>
    <t xml:space="preserve"> Elaborar el diagnóstico de los tipos documentales que integran los expedientes contractuales de las vigencia 2020 </t>
  </si>
  <si>
    <t xml:space="preserve">Diagnóstico de los tipos documentantales </t>
  </si>
  <si>
    <t>Con oficio 5-71.7/378 del 23/06/2023, envió:
Documento Diagnóstico  2020 "DIAGNOSTICO DEL ESTADO DE LOS EXPEDIENTES CONTRACTUALES VIGENCIA 2020" y Anexo 1. Reconstrucción 2020-2021 en Excel
Documento "INFORME 2020":  cuyo objetivo es identificar el estado de los expedientes contractuales vigencia 2020.</t>
  </si>
  <si>
    <t xml:space="preserve">La Vicerrectoría Administrativa - Área de Contratación, elaboró el diagnóstico de los expedientes contractuales vigencia 2020, en el que describe la gestión adelantada para la reconstrucción de los expedientes contractuales, que contiene información requerida para la toma de decisiones por el Comité de Archivo. </t>
  </si>
  <si>
    <t xml:space="preserve">Solicitar a las dependencia los soportes faltantes para completar los expedientes, según el resultado del diagnóstico </t>
  </si>
  <si>
    <t>registro de solicitudes y soportes</t>
  </si>
  <si>
    <t xml:space="preserve">
Con oficio 5-71.7/378 del 23/06/2023 se remite las evidencias que dan cuenta de los requerimientos a las dependencias y/o universitrarios, cuyo asunto se relaciona con la reconstrucción de firmas de los diferentes tipos documentales que conforman los expedientes contractuales de la Vicerrectoría Administrativa, con base en el diagnóstico del estado de los expedientes contractuales 2020, entre ellos: Oficio 5-92.8/1123 de 2022,  Correos electrónicos, Oficio 5-92.8/0038 de 2023, Oficio 5-92.8/0198 de 2023, Oficio 5-92.8/0199 de 2023, Oficio 5-92.5/0624 de julio de 2021,  Oficio 5-52/638 de agosto de 2021,  Oficio 5-92.8/739 de septiembre de 2021, Oficio 5-92.8/979 de septiembre de 2021, Acta n° 01 del 21 de enero de 2022, Oficio 5-52/125 de febrero de 2022, Oficio 5-52.5/254 de mayo de 2023, Oficio 6.1-52.5/294 de mayo de 2023, correo electrónico - VRI verificación de Contratación Vigencias 2020 y 2021, Correo electrónico- Certificados de pago faltantes Vigencias 2020 y 2021, correo electrónico - VRI Contratos faltantes Vigencias 2020 y 2021, Correo electrónico - Contratos faltantes vigencias 2020 y 2021</t>
  </si>
  <si>
    <t>La Vicerrectoría Administrativa, requirió los expedientes contractuales con sus respectivas firmas, tipos documentales faltantes, entre otros,  a las instancias y/o universitarios para la reconstrucción del archivo 2020.
Se presentan solicitudes informales, sin aplicación de la respectiva TRD y sin suscribir por el Vicerrector Administrativo.</t>
  </si>
  <si>
    <t>Remitir al Comité de Archivo el informe del estado de los expedientes contractuales, vigencia 2020 con informacion incompleta para las decisiones correspondientes.</t>
  </si>
  <si>
    <t xml:space="preserve"> Informe sobre el estado de los expedientes contractuales</t>
  </si>
  <si>
    <t>II semestre de 2024:
Con oficio 5-55.6/06 del 13/01/2024, recibido a través del correo electrónico de la OCI el 13/01/2025, la Vicerrectoría Administrativa remite los avances de los planes de mejoramiento vigencia 2020, 2021 y 2023.
Anexa el oficio 5-55.6/1349 del 24/12/2024 con el que se remite el informe de estado de los expedientes contractuales vigencias 2020 y 2021 y solicita se autorice la culminación del proceso de reconstrucción de los tipos documentales de los expedientes contractuales.</t>
  </si>
  <si>
    <t>II semestre de 2024
El informe contempla un universo de 4440 tipos documentales a recuperar de la vigencia 2020, de los cuales se recuperaron 1517  pendientes 2923 e indica que se logró para la vigencia 2020 un 34.2% de documentos recuperados.
Se mantiene el 50% de avance, por la presentación del informe actualizado al Comité de Archivo, pendiente recepcionar las decisiones del Comité.</t>
  </si>
  <si>
    <t>Vicerrector (a) Administrativo (a)
Secretaria General - Gestión Documental</t>
  </si>
  <si>
    <t>B. En los informes de los supervisores, se evidenció que hacen referencia a los números de planillas de pago de aportes a la seguridad social y parafiscales, pero las mismas no son integradas al expediente contractual</t>
  </si>
  <si>
    <t>II semestre de2024:
Con oficio 5-55.6/06 del 13/01/2024, recibido a través del correo electrónico de la OCI el 13/01/2025, la Vicerrectoría Administrativa remite los avances de los planes de mejoramiento vigencia 2020, 2021 y 2023.
Anexa el oficio 5-55.6/1349 del 24/12/2024 con el que se remite el informe de estado de los expedientes contractuales vigencias 2020 y 2021 y solicita se autorice la culminación del proceso de reconstrucción de los tipos documentales de los expedientes contractuales.</t>
  </si>
  <si>
    <t>Vicerrector (a) Administrativo (a)
Secretaria General - Gestión Documental
Profesional Especializado División Gestión Financiera</t>
  </si>
  <si>
    <t>Información Reportada a la Auditoría (A)
Frente a la muestra contractual, se logró determinar por parte del grupo auditor que, en la información reportada por la Universidad del Cauca a la CGR al inicio de la Auditoría Financiera, vigencia 2020; parte de la misma no concuerda con la allegada en forma física y/o digitalizada. Ver tablas N° 23, 25 y 26 del informe C.G.R.</t>
  </si>
  <si>
    <t>Por ausencia de controles en el manejo de información, generando inconsistencias en la misma, lo cual dificulta la verificación y seguimiento</t>
  </si>
  <si>
    <t xml:space="preserve">Implemetar mecanismos de mejora a los reportes de la Información
</t>
  </si>
  <si>
    <t>Confrontar la información registrada en la base de datos de contratación Vs reporte RRMG del Finanzas Plus.</t>
  </si>
  <si>
    <t>Reporte mensual de contratacion validado</t>
  </si>
  <si>
    <t>Hallazgo 14 2020.Info  Sistema Finanzas Plus para diligenciamiento de ABC</t>
  </si>
  <si>
    <t>En el seguimiento realizado el 05/12/2022, se constató in situ y se confrontó con las evidencias reportadas, que la información de de contratación en el ABC, se ajusta de acuerdo a la información remitida por Financiera del sistema Finanzas Plus. 
El avance pasa del 70% al 100%</t>
  </si>
  <si>
    <t>Vicerrector (a) Administrativo (a)
Profesional Especializado División Gestión Financiera</t>
  </si>
  <si>
    <t>SEGUIMIENTO PLAN DE MEJORAMIENTO - CONTRALORÍA GENERAL DE LA REPÚBLICA AUDITORÍA VIGENCIA 2021</t>
  </si>
  <si>
    <t>Auditoría Externa vigencia 2021</t>
  </si>
  <si>
    <t>Sostenibilidad de la calidad de la información financiera cuentas por cobrar (A) A) A 31 de diciembre de 2021, los auxiliares contables de las subcuentas 13170101 Servicios académicos, 138490 Otras cuentas por cobrar y 1385020101 Cuentas por cobrar de difícil recaudo - Servicios académicos,  presentan saldos contrarios a la naturaleza de las cuentas, así:1. Cuenta 131701 Servicios educativos. Servicios Académicos, presenta 146 registros con saldo contrario a la naturaleza de la cuenta por (-) $15.012.069. 2. Cuenta 138490 Otras cuentas por cobrar, presenta 534 registros con saldo contrario a la naturaleza de la cuenta por (-) $26.722.884</t>
  </si>
  <si>
    <t>Falta identificar la integralidad de los conceptos que afectan la cuenta deudores y no están parametrizados en los sistemas, y su seguimiento.</t>
  </si>
  <si>
    <t>Identificar la integralidad de los conceptos que afectan la cuenta deudores y no están parametrizados en los sistemas, y realizar su seguimiento.</t>
  </si>
  <si>
    <t>Realizar un diagnóstico sobre los conceptos que afectan la cuenta deudores.</t>
  </si>
  <si>
    <t>Diagnóstico realizado.</t>
  </si>
  <si>
    <t>2022/07/11</t>
  </si>
  <si>
    <t>Diagnóstico en físico</t>
  </si>
  <si>
    <t xml:space="preserve">"Con oficio 5-84/0662 del 7/09/2022, la Vicerrectoría Administrativa remitió un diagnóstico con la identificación de conceptos a la fecha, y que se encuentran parametrizados en el sistema, sin embargo, informan que se envió la solicitud de información a diferentes dependencias y facultades, para idfentificar y parametrizar los nuevos conceptos. 
Con oficio 5-84/ 0860 del 25/11/2022, la vicerrectoría Administrativa remitió diagnóstico donde identifica los conceptos faltantes por parametrizar.
OCI: En la visita realizada por la OCI el 28/11/2022 a la Técnica Administrativa de Cartera, se evidenció que se realizó el diagnóstico sobre los conceptos que afectan la cuenta deudores, en las diferentes dependencias y facultades de la Institución.
Se evidencia la completitud de la actividad, por lo que se asigna un avance del 100%."
</t>
  </si>
  <si>
    <t>Vicerrector Administrativo, 
Profesional Especializado División de Gestión Financiera</t>
  </si>
  <si>
    <t>1. Cuenta 131701 Servicios educativos Servicios Académicos, presenta 146 registros con saldo contrario a la naturaleza de la cuenta por (-) $15.012.069. 2. Cuenta 138490 Otras cuentas por cobrar, presenta 534 registros con saldo contrario a la naturaleza de la cuenta por (-) $26.722.884</t>
  </si>
  <si>
    <t>Identificar los conceptos que afectan la cuenta deudores.</t>
  </si>
  <si>
    <t>Porcentaje de  Conceptos identificados.</t>
  </si>
  <si>
    <t>Hallazgo 1 2021. Matriz de conceptos parametrizados</t>
  </si>
  <si>
    <t xml:space="preserve">De acuerdo al compromiso adquirido por la técnica Administrativa de cartera en el seguimiento realizado el 28/11/2022, mediante correo electrónico del mísmo día, se remitió el registro de los conceptos identificados y parametrizados en el sistema, cumpliendo con la totalidad de conceptos remitidos por las dependencias y facultades. 
El avance pasó al 100%. </t>
  </si>
  <si>
    <t xml:space="preserve">Vicerrector Administrativo, 
Profesional Especializado División de Gestión Financiera. </t>
  </si>
  <si>
    <t>Parametrizar los sistemas de apoyo a la gestión de la cuenta deudores.</t>
  </si>
  <si>
    <t>Porcentaje de Conceptos parametrizados en los sistemas.</t>
  </si>
  <si>
    <t xml:space="preserve">Vicerrector Administrativo, 
Profesional Especializado División de Gestión Financiera </t>
  </si>
  <si>
    <t>Realizar seguimiento a la cuenta deudores - servicios académicos.</t>
  </si>
  <si>
    <t>Seguimientos realizados.</t>
  </si>
  <si>
    <t xml:space="preserve">La Vicerrectoría Administrativa con oficio 5-71.7/646 del 17/11/2023 remitió las siguientes evidencias: 
1. Oficio 5-84/485 del 25 de octubre de 2023
 2. Carpeta comprimida con evidencias cobro coactivo </t>
  </si>
  <si>
    <t>II semestre 2023: Se evidencia el seguimiento que el grupo de Credito de Cartera de la Vicerrectoria Administrativa realizó a la cuenta deudores - servicios académicos, para lo que informan que "del 100% de la cartera catalogada en esta instancia se remite una muestra del 26,79% que demuestra las actuaciones adelantadas para la recuperación de la cartera, en la que se presentan 47 expedientes activos con sus respectivos soportes y por otro lado, otros 50 expedientes que validan la gestión efectiva de cobro, dado que se recupera al 100% el valor de la deuda".
En la revisión aleatoria de los soportes remitidos, se evidencian acuerdos de pago, recibos de pago de cuotas y la terminación de los acuerdos de pago por finalización de la deuda, además, la aplicación de los formatos de seguimiento de cartera- etapa persuasiva- etapa coativa y lista de chequeo de crédito y cartera, el envío de notificaciones a los deudores, entre otros, con los que se evidencia el seguimiento realizado. 
Con la evidencia de los seguimientos permanentes realizados a los deudores, se da cumplimiento a la actividad en un 100%.</t>
  </si>
  <si>
    <t>B) Los documentos soportes de los registros contables de las subcuentas 13170101 Servicios académicos, 138490 Otras cuentas por cobrar y 1385020101 Cuentas por cobrar de difícil recaudo - Servicios Académicos, se encontraron registros que no corresponden a la información que reporta el sistema de facturación o se generaron por errores en la codificación al efectuar el registro contable,</t>
  </si>
  <si>
    <t>Falta ajustar la totalidad de los conceptos por el cambio de la codificación contable de la cuenta deudores.</t>
  </si>
  <si>
    <t>Ajustar los terceros que  presentan sobreestimación por los cambios en la codificacion contable de los saldos en las subcuentas objeto del hallazgo.</t>
  </si>
  <si>
    <t>Elaborar las notas de contabilidad con los ajustes de los terceros con sobre o sub estimación que se relaciona en las subcuentas del hallazgo.</t>
  </si>
  <si>
    <t>Porcentaje de Notas de contabilidad elaboradas.</t>
  </si>
  <si>
    <t>2022/11/07</t>
  </si>
  <si>
    <t>La División de Gestión Financiera con oficio 5.2-52.2/0174 del 30/06/2023 relacionó 756 notas de ajuste y 6 notas de tesorería, informando que corresponden a la totalidad de saldos por ajustar, se revisó las siguientes notas de contabilidad:  
D924-202200002, D924-202200003, D924-202200006, D924-202200007, D924-202200008, D924-202200009, D924-202200010, D924-202200015, D924-202200014, D924-202200016, D924-202200017, 
D924-202200003, D918-202200053
Nota Tesorería D803- 202202220, D803- 202205520, D803- 202206006</t>
  </si>
  <si>
    <t xml:space="preserve">Con oficio 5.2-52.5/697 del 21/12/2022, la División de Gestión Financiera remitió las notas de contabilidad de los ajustes realizados a la fecha, informando que corresponden a los registros de las tablas 17, 18 y 19 del hallazgo, y que del total a ajustar $2.957.098.449, se ajustó $1.614.183.449, equivalente al 54,59%, además, informan que se realiza seguimiento al proceso de matricula de gratuidad correspondiente al periodo 2021.2
De la revisión aleatoria a las notas de contabilidad remitidas: D918 - 202200053, D924 202200107,  D924- 202200004 y  D924- 202200005, se evidencia el ajuste, sin embargo, el cierre de la actividad depende del ajuste a la totalidad de errores determinados por la CGR tablas 17,18 y 19, por lo que el avance pasa al 55%.
2023: De la revisión aleatoria a las notas de contabilidad relacionadas por la División de Gestión Financiera, y comparadas con las tablas 17,18 y 19 del informe de auditoría financiera de la CGR, se da cumplimiento a la actividad en un 100%. 
No obstante, la actividad del hallazgo será objeto de seguimiento para valorar su efectividad. </t>
  </si>
  <si>
    <t xml:space="preserve">Vicerrector Administrativo, 
Profesional Especializado División de Gestión Financiera.
</t>
  </si>
  <si>
    <t>Sostenibilidad de la calidad de la información financiera – cuentas por pagar (A) En los registros contables de las subcuentas 24010102 Adquisición de servicios nacionales y 249032 Cheques no cobrados o por reclamar, se encontraron saldos que no corresponden a una obligación cierta de la entidad, los cuales se relacionan en las tablas No. 20 y 21. Sobreestimación en los saldos de la Subc</t>
  </si>
  <si>
    <t>Falta de seguimiento a la cuenta contable-Cuentas por pagar; subcuentas Adquisición de servicios nacionales y cheques no cobrados o por reclamar.</t>
  </si>
  <si>
    <t>Realizar la gestión de la cuenta contable-Cuentas por pagar, subcuentas Adquisición de servicios nacionales y cheques no cobrados o por reclamar.</t>
  </si>
  <si>
    <t>Ajustar e implementar el procedimiento relacionado con la cuenta contable  24010102 y 249032: PA-GA 5.2-PR-1 (Conciliaciones Bancarias y Saldos de Tesorería y Contabilidad).</t>
  </si>
  <si>
    <t>Procedimiento ajustado e implementado</t>
  </si>
  <si>
    <t>La División de Gestión Financiera con oficio 5.2-52.2/007 del 17/11/2023 remitió las siguientes evidencias: 
1. Procedimiento PA-GA 5.2-PR-1 Conciliaciones Bancarias y Saldos de Tesorería y Contabilidad - Versión 7 del 10/11/2023.
2. Evidencias implementación procedimiento: Oficio de confirmación derechos a Acreencias Laborales, relación de saldos cheques no cobrados o por reclamar, correos electrónicos de notificación de cheques no cobrados o por reclamar a los beneficiarios, notas contables de ajuste, notas contables de ajustes y depuraciones</t>
  </si>
  <si>
    <t xml:space="preserve">II semestre 2023: Se evidencia el ajuste del procedimiento Conciliaciones Bancarias y Saldos de Tesorería y Contabilidad Versión 7 del 10/11/2023, de acuerdo con las recomendaciones de la OCI en el seguimiento del primer semestre del 2023, respecto de la descripción de las actividades, responsables y puntos de control, y su publicación en el portal web Institucional- Programa LVMEN. 
Por su parte, se revisó las evidencias de implementación, en las que se observa el seguimiento a los saldos de la subcuenta de cheques no cobrados o por reclamar encontrados en la auditoría de la CGR 2021, y el ajuste de algunos saldos de personas que ya realizaron el proceso de cobro y de uno que desistió de él.
Con la evidencia de la publicación del procedimiento y su implementación, se otorga el 100% de avance a la actividad. </t>
  </si>
  <si>
    <t>Ajustar e implementar el procedimiento relacionado con la cuenta contable  24010102 y 249032:Procedimiento PA-GA 5.4.5-PR-16 (Adquisición y control de bienes)</t>
  </si>
  <si>
    <t>I semestre 2024:
Con Oficio 5.4.5-27.1/010 del 21/06/2024 el Área de Adquisiciones e Inventarios reportó el Procedimiento PA-GA-5.4.5-PR-16  Adquisición y control de bienes Versión 4 del 22/03/2024
Con oficio 5.4.5-27.1/011 del 18/07/2024 el Área de Adquisiciones e Inventarios remitió evidencias de la implementación del procedimiento PA-GA-5.4.5-PR-16  Adquisición y control de bienes</t>
  </si>
  <si>
    <t xml:space="preserve">
II semestre 2023: El día 11/12/2023 la OCI realizó visita a la División de Gestión Financiera, y se determinó la necesidad de realizar los ajustes al procedimiento PA-GA 5.4.5-PR-16 (Adquisición y control de bienes), tema que se trató en el Comité de sostenibilidad contable del 15/12/2023, en el que se acordó que el Área de Adquisiciones e Inventarios mejore los controles del procedimiento (Acta 5.2-1.84/003).  
La actividad permenece con 0% ya que no se recibió avances de las dependencias responsables. 
I Semestre 2024: 
La OCI evidenció que se realizaron los ajustes requeridos, especielmente en cuanto a la mejora de la actividad 19 relacionada con la recepción de mercancía, y las demás actividades relacionadas con la verificación de la mercancía solicitada, y el trámite correspondiente para proceder al pago. Además se evidenció su aplicación en la vigencia 2024, por lo que la actividad obtiene el 100% de avance. 
Cabe resaltar que la OCI realizará el seguimiento a la implementación, para verificar su efectividad, entre ello, evidenciar que se realice la mejora sobre el punto de control de la actividad 20 sobre el documento PA-GA- FOR- 22, entre otras que el Área pueda identificar, además, recomienda que se realice la socialización con los interesados. </t>
  </si>
  <si>
    <t>Profesional Especializado Área de Adquisiciones e Inventarios</t>
  </si>
  <si>
    <t>Ajustar e implementar el procedimiento relacionado con la cuenta contable  24010102 y 249032: procedimiento PA-GA 5.2-PR-6 V4 (Egresos presupuestales)</t>
  </si>
  <si>
    <t>La División de Gestión Financiera con oficio 5.2-52.2/007 del 17/11/2023 remitió las siguientes evidencias: 
1. Procedimiento PA-GA 5.2-PR-6, Egresos Presupuestales versión 7 del 30/10/2023
2. Documentos de ajuste cuentas por pagar 
3. Actas de baja por fenecimiento de cuentas por pagar vigencias anteriores</t>
  </si>
  <si>
    <t>II semestre 2023: Se evidencia el ajuste del procedimiento Egresos presupuestales, según lo recomendado por la OCI, y su publicación en el portal web Institucional- Programa LVMEN, pero no se logró verificar su implementación. 
De la revisión aleatoria a los documentos que soportan los ajustes de las cuentas por pagar en el Sistema Financiero, se evidencia la aplicación del procedimiento PA-GA 5.2-PR-6 V4 respecto de la actividad 16, conforme lo dispone el acta N° 5.2-1.56-0031 del 26/06/2023 Baja Cuentas por Pagar.
Con los ajustes realizados al procedimiento, su publicación y aplicación, la actividad alcanza un avance del 100%.</t>
  </si>
  <si>
    <t>Profesional Especializado División de Gestión Financiera.</t>
  </si>
  <si>
    <t>Conciliaciones bancarias (A). La conciliación bancaria de la cuenta de ahorros 220-290-720XX-X del Banco Popular a 31/12/2021 registra partidas conciliatorias que superan 3 años de antigüedad, sin que se hayan realizado los ajustes y reclasificaciones según lo establecido en los procedimientos de la entidad: Tabla No. 22 Créditos no registrados en libro auxiliar. Vr. Total $476 millones</t>
  </si>
  <si>
    <t>Los resultados de las conciliaciones bancarias no se reflejan en el libro auxiliar y en los estados financieros como insumo para la toma de decisiones por le Comité de Sostenibilidad Contable.</t>
  </si>
  <si>
    <t>Realizar seguimiento a las partidas conciliatorias.</t>
  </si>
  <si>
    <t>Presentar ante el Comité de Sostenibilidad Contable el resultado del seguimiento a las partidas conciliatorias bancarias mayores o iguales a 3 años.</t>
  </si>
  <si>
    <t>Informe presentado al Comité.</t>
  </si>
  <si>
    <t xml:space="preserve">La División de Gestión Financiera con oficio 5.2-52.2/007 del 17/11/2023 remitió las siguientes evidencias: 
1. Evidencias presentadas en la vigencia 2022:
- Acta Reuniones CTSC 5.2-1.84-001 22-DIC-2022
-Diapósitivas presentación CTSC
-Relación partidas no identificadas para CTSC 2022
2. Notas de tesorería registro de las partidas no identificadas
Se realizó sesión del Comité de Sostenibilidad Contable el día 15/12/2023, como consta en acta 5.2-1.84/003 de la misma fecha, subpunto 3 del punto 1 y punto 2. </t>
  </si>
  <si>
    <t>II semestre 2023: El 15/12/2023 se realizó sesión del Comité de Sostenibilidad Contable, en el que se comunicó los resultados del seguimiento a las partidas conciliatorias bancarias mayores o iguales a 3 años, en cumplimiento de los compromisos adquiridos por la División en la sesión anterior. 
En los puntos 1 y 2 del acta de la sesión del comité de sostenibilidad contable del 15/12/2023, se evidencia la presentación de los resultados del seguimiento a las partidas, con lo que el avance pasa del 75% al 100%.</t>
  </si>
  <si>
    <t xml:space="preserve">MABEL VERIFICAR </t>
  </si>
  <si>
    <t>Profesional Especializado División de Gestión Financiera, 
Profesional Especializado Tesorero División de Gestión Financiera.</t>
  </si>
  <si>
    <t>Conciliaciones bancarias (A). La conciliación bancaria de la cuenta de ahorros 220-290-720XX-X del Banco Popular a 31/12/2021 registra partidas conciliatorias que superan 3 años de antigüedad, sin que se hayan realizado los ajustes y reclasificaciones según lo establecido en los procedimientos de la entidad: Tabla No. 22 Créditos no registrados en libro auxiliar Vr. Total $476 millones.</t>
  </si>
  <si>
    <t>Identificar y registrar en el libro auxiliar las partidas conciliatorias bancarias según las decisiones del Comité de Sostenibilidad Contable.</t>
  </si>
  <si>
    <t>Registros en libro auxiliar de partidas conciliatorias bancarias.</t>
  </si>
  <si>
    <t>La División de Gestión Financiera con oficio 5.2-52.2/0174 del 30/06/2023 respondió que se se registraron las partidas conciliatorias correspondientes a 28 notas credito de tesoreria, por valor total de $31.611.769, cumpliendo con lo aprobado por el Comité de Sostenibilidad Contable, Acta No.5.2-1.84/001 del 22-diciembre-2022. 
Para lo anterior relacionaron 23 notas crédito de tesorería: 
D803-202326815, D803-202326816, D803-202326817, D803-202326818, D803-202326819, D803-202326820, D803-202326821, D803-202326822, D803-202326823, D803-202326824, D803-202326825, D803-202326826, D803-202326827,D803-202326828,D803-202326829, D803-202326830, D803-202326831, D803-202326832, D803-202326833, D803-202326834, D803-202326835, D803-202326836, D803-202326837. 
Se revisó las Nota tesorería:  D803- 202326834, D803- 202326835, D803- 202326836, D803- 202326837</t>
  </si>
  <si>
    <t>2023: Verificadas las 4 notas de tesorería (D803- 202326834, D803- 202326835, D803- 202326836, D803- 202326837), con los registros de la tabla 22 que menciona el hallazgo, se determina que se da cumplimiento a la actividad, en cuanto se registraron las partidas conciliatorias bancarias de acuerdo con lo aprobado por el Comité de sostenibilidad contable ($31.611.769).
La actividad se cumple en un 100%.</t>
  </si>
  <si>
    <t>Profesional Especializado División de Gestión Financiera, Profesional Especializado Contador División de Gestión Financiera, 
Profesional Especializado Tesorero División de Gestión Financiera</t>
  </si>
  <si>
    <t>Sostenibilidad de la calidad de la información financiera – anticipos (A). En los registros contables de las subcuentas 190514 Bienes y servicios pagados por anticipado y 190604 Anticipo para adquisición de bienes y servicios, se encontraron saldos pendientes de amortizar que datan de vigencias anteriores y sobre los que la entidad no tiene la certeza de la existencia del derecho. Tabla</t>
  </si>
  <si>
    <t>Falta de seguimiento y depuración de los anticipos entregados que afectan la cuenta contable.</t>
  </si>
  <si>
    <t>Realizar el seguimiento y depuración de los anticipos entregados que afectan la cuenta contable.</t>
  </si>
  <si>
    <t>Seguimiento y depuración de los terceros con saldos pendientes de amortizar de vigencias anteriores en las subcuentas objeto del hallazgo.</t>
  </si>
  <si>
    <t>Porcentaje de registros de Seguimiento y depuración.</t>
  </si>
  <si>
    <t>Actualizar el procedimiento PA-GA-5.2-PR-6 Egresos presupuestales, con los lineamientos de la Resolución R-0514/2021 en lo relativo al control de informes para amortizar los anticipos.</t>
  </si>
  <si>
    <t xml:space="preserve">Procedimiento Actualizado </t>
  </si>
  <si>
    <t xml:space="preserve">La División de Gestión Financiera con oficio 5.2-52.2/007 del 17/11/2023 remitió las siguientes evidencias: 
1. Procedimiento PA-GA 5.2-PR-6, Egresos Presupuestales versión 7 del 30/10/2023 </t>
  </si>
  <si>
    <t xml:space="preserve">II semestre 2023: Se evidencia el ajuste del procedimiento Egresos presupuestales, según lo recomendado por la OCI, y su publicación en el portal web Institucional- Programa LVMEN, cuya actividad 13 describe la actividad relacionada con anticipos. 
Con lo anterior, se otorga un 100% de avance a la actividad. </t>
  </si>
  <si>
    <t>Notas generales a los estados financieros a 31 de diciembre de 2021 (A). En las Notas generales a los Estados financieros 2021 a 31/12/2021, el representante legal y el contador, certifican que los estados financieros se elaboran conforme al marco normativo para entidades de gobierno, emitido por la CGN, según Resolución 533/2015 y sus modificatorias y el AS 084/2021 que actualiza y/o es</t>
  </si>
  <si>
    <t>Invocar normas sin los requisitos de validez en las notas a los estados financieros.</t>
  </si>
  <si>
    <t>Verificar que el sustento normativo de las notas a los estados financieros, estén debidamente formalizados.</t>
  </si>
  <si>
    <t>Ajustar el procedimiento en lo relativo al control en la elaboración de las notas contables respecto del marco normativo vigente aplicable.</t>
  </si>
  <si>
    <t>Procedimiento ajustado e implementado.</t>
  </si>
  <si>
    <t>La División de Gestión Financiera con oficio 5.2-52.2/007 del 17/11/2023 remitió las siguientes evidencias:
 1. Procedimiento Preparación, aprobación, validación y publicación de Estados 
Financieros e informes financieros y contables PA-GA 5.2-PR-12, versión 5 del 20/09/2023</t>
  </si>
  <si>
    <t>II semestre 2023: Se evidencia la publicación del procedimiento de Elaboración y Aprobación de Estados Financieros  PA-GA 5.2-PR-12 Versión 5 del 20/09/2023, y la publicación de los Informes financieros donde se observa la aplicación del procedimiento respecto de las notas a los estados financieros, por lo que la actividad pasa del 10% al 100% de avance.</t>
  </si>
  <si>
    <t>En las subcuentas 13170101 Servicios académicos, 138490 Otras cuentas por cobrar y 1385020101 Gestión de cartera - Cuentas por cobrar servicios educativos (A) (D) A) Cuentas por cobrar de difícil recaudo - Servicios Académicos, se observa el incumplimiento de la normatividad establecida, para financiar los servicios educativos: el reglamento interno de cartera y el procedimiento de juris</t>
  </si>
  <si>
    <t>Casos especiales reiterativos para la financiación de matrículas financieras de pregrado y posgrado en condición de becarios o beneficiarios de estímulos.</t>
  </si>
  <si>
    <t>Definir una herramienta que evidencie el cumplimiento de los requisitos de financiación de matrícula financiera.</t>
  </si>
  <si>
    <t>Ajustar el procedimiento de financiación de matrícula financiera.</t>
  </si>
  <si>
    <t>Procedimiento ajustado.</t>
  </si>
  <si>
    <t>Con oficio 5-84/0182 del 21/04/2023, la Vicerrectoría Administrativa remitió: 
-Procedimiento Financiación de Derechos de Matrícula y Complementarios, V5 del 13/03/2023 .
-Instructivo para Financiación de Matrícula Financiera Estudiantes
Regulares de Pregrado y Posgrado V3 del 16/01/2023</t>
  </si>
  <si>
    <t xml:space="preserve">2023: Se verificó el ajuste y publicación del procedimiento Financiación de Derechos de Matrícula y Complementarios en el programa LVMEN del portal Web Institucional, así como del instructivo, por lo que se da cumplimiento al 100% de la actividad planteada. </t>
  </si>
  <si>
    <t xml:space="preserve">Vicerrector Administrativo
</t>
  </si>
  <si>
    <t>En las subcuentas 13170101 Servicios académicos, 138490 Otras cuentas por cobrar y 1385020101 Gestión de cartera - Cuentas por cobrar servicios educativos (A) (D). A) Cuentas por cobrar de difícil recaudo - Servicios Académicos, se observa el incumplimiento de la normatividad establecida, para financiar los servicios educativos: el reglamento interno de cartera y el procedimiento de juri</t>
  </si>
  <si>
    <t>Crear una herramienta para validar el cumplimiento de los requisitos exigibles en el procedimiento de financiación de matrícula financiera.</t>
  </si>
  <si>
    <t>Herramienta de validación implementada.</t>
  </si>
  <si>
    <t xml:space="preserve">Revisión Física. </t>
  </si>
  <si>
    <t xml:space="preserve">Con oficio 5-84/0661 del 07/09/2022, la Vicerrectoría Administrativa remitió respuesta del cumplimiento de la actividad, en la que relacionala creación de la lista de chequeo, evidenciada en LVMEN con Versión 1, del 10/05/2022.
En el seguimiento realizado en la visita del 28/11/2022, se revisó una muestra aleatoria de las carpetas de financiación de matrícula financiera, de los estudiantes identificados con los documentos Nos.1061790559, 1085898520, 1061814021, 1061760408, 1085246691, 34323756, 10296353, 1061779000, 1061713471; se constató que a partir del periodo 2022- 2 se implementó el formato PA-GA-5-OD-19 V1 del 10/05/2022 que permite verificar el aporte de los requisitos exigidos para financiación. Se otorgó un avance del 100%. </t>
  </si>
  <si>
    <t>B) 2. Se incumplen los términos para desarrollar la etapa de cobro persuasivo y cobro coactivo.  4. Incumplimiento a los acuerdos de pago, sin que se inicie inmediatamente las acciones judiciales y coactivas respectivas. 5. Investigación de bienes tardía</t>
  </si>
  <si>
    <t>Planeación no sincronizada entre el cronograma para el cobro financiero y el calendario Académico.</t>
  </si>
  <si>
    <t>Articular la planeación del cronograma para el cobro financiero, con lo estipulado en el calendario Académico.</t>
  </si>
  <si>
    <t>Actualizar la herramienta de seguimiento de los procesos de recuperación de cartera, que evidencie la articulación del cronograma para el cobro financiero con el calendario Académico.</t>
  </si>
  <si>
    <t>Herramienta actualizada.</t>
  </si>
  <si>
    <t>PA-GA-5-FOR-15 Seguimiento Cartera - Etapa Persuasiva - Etapa Coactiva V1 del 22/08/2022</t>
  </si>
  <si>
    <t xml:space="preserve">En visita del 28/11/2022 a la Técnica Administrativa de Cartera, se presentaron las evidencias de seguimiento a la recuperación de cartera – etapa persuasiva- etapa coactiva PA-GA- 5- FOR-15: V1, publicada en la página web Institucional- programa LVMEN, con lo que se otorgó un avance del 100%. </t>
  </si>
  <si>
    <t>C) 3. Acuerdos de pago firmados con docentes de la entidad, donde autorizan descuento por nómina y éstos no se ejecutan.</t>
  </si>
  <si>
    <t>Debilidad en los controles aplicados en las novedades reportadas por descuento en nómina.</t>
  </si>
  <si>
    <t>Fortalecer el control de las novedades reportadas por descuento de nómina.</t>
  </si>
  <si>
    <t>Actualizar el formato PA-GA-5.1-FOR 12 de solicitud de descuentos por nómina, donde se de claridad y se evidencie la causal de anulación del descuento.</t>
  </si>
  <si>
    <t>Formato actualizado.</t>
  </si>
  <si>
    <t>PA-GA-5.1-FOR-12 Solicitud de Descuentos por Nómina V3 del 06/12/2022</t>
  </si>
  <si>
    <t>Se verificó en LVMEN la actualización del formato  PA-GA-5.1-FOR 12 Versión 3 del 06/12/2022.
Pasó de un 70% a un 100% de avance</t>
  </si>
  <si>
    <t xml:space="preserve">Vicerector Administrativo Profesional Especializado - División de Gestión de Talento Humano </t>
  </si>
  <si>
    <t>Vigencias expiradas y pagos por conciliaciones. (A) (D) A) Al cierre presupuestal de la vigencia 2021, no se autorizó la constitución de reservas presupuestales de compromisos legalmente adquiridos por la entidad, induciendo a que se paguen vigencias expiradas, para registros de disponibilidad por $323.924.093, con conceptos tales como estímulos económicos; tutorías y profesores visitant</t>
  </si>
  <si>
    <t>Deficiente labor en la supervisión/seguimiento de los actos administrativos, por compromisos no liquidados, y suministro inoportuno de información al proceso Gestión  Financiera, que no permiten realizar el pago ni constituir cuenta por pagar o reserva presupuestal.</t>
  </si>
  <si>
    <t>Interiorizar las  funciones a los responsables de la supervisión/seguimiento de los actos administrativos, para que adelanten gestiones oportunas y efectivas, tendientes a solucionar las situaciones que originan las vigencias expiradas</t>
  </si>
  <si>
    <t>Remitir a la autoridad disciplinaria competente los casos autorizados como pago por vigencia expirada, para que se inicie las actuaciones disciplinarias a que haya lugar.</t>
  </si>
  <si>
    <t>Porcentaje de Registros de remisión a la autoridad disciplinaria competente</t>
  </si>
  <si>
    <t>En comunicación 5-71.7/378 del 23/06/2023 y Oficio 5-71.7/377 de 2023 la Vicerrectoría Administrativa envió el oficio 5-92.8/376 del 23/06/2023, dirigido a la Profesional especializada Grupo de control Intenro Disciplinario, con el que remite para los fines a que haya lugar, la relación de los casos autorizados como pago por vigencia expirada causadas en la vigencia fiscal 2021.
Igualmente, se evidencia que con oficio 5-52.5/326 del 31/05/2023, dirigido a la Secretaria Técnica del Comite de Conciliación de la Universidad del Cauca, la Vicerrectoría Administrativa, solicita allegar un informe sobre los casos que han sido conciliados por el Comité de Conciliación y fueron remitidos al grupo de Control Interno Disciplinario, para que se iniciaran las actuaciones disciplinarias a que hubieren lugar, en las vigencias 2022 y 2023; el Comité de Conciliación con oficio 2.1-1.68/030 del 14/06/2023, presenta información sobre los casos conciliados por el Comité de Conciliación, vigencias 2022 y 2023.</t>
  </si>
  <si>
    <t>Se evidencia el listado de casos autorizados por pago como vigencia expirada, con tabla que contiene: tercero, identificación del tercero, descripción concepto, nombre supervisor, valor pago por vigencia expirada, resolución por el cual se realiza la adición presupuestal y se autoriza pago por vigencia expirada.</t>
  </si>
  <si>
    <t>Secretaría General
Vicerrector Administrativo</t>
  </si>
  <si>
    <t>Vigencias expiradas y pagos por conciliaciones. (A) (D) A) Al cierre presupuestal de la vigencia 2021, no se autorizó la constitución de reservas presupuestales de compromisos legalmente adquiridos por la entidad, induciendo a pagos por vigencias expiradas, para registros de disponibilidad por $323.924.093, por conceptos como estímulos económicos; tutorías y profesores visitantes y contr</t>
  </si>
  <si>
    <t>Capacitar a los actores académicos, investigadores y administrativos con funciones de supervisión/seguimiento de los actos administrativos, sobre los procesos en los que pueden verse involucrados, en la configuración de vigencias expiradas.</t>
  </si>
  <si>
    <t>Porcentaje de Registros de capacitación.</t>
  </si>
  <si>
    <t>Registro asistencia capacitaciones, Oficios citación capacitaciones, material insumo para las capacitaciones, cronograma de talleres.</t>
  </si>
  <si>
    <t xml:space="preserve">La Vicerrectoría Administrativa, realizó el taller sobre Aspectos Contractuales en las dependencias, en las vicerrectorias y en las facultades de la Universidad del Cauca, en las que se abordaron temas como funciones de supervisión, vigencias futuras, expiradas, reservas presupuestales, cuentas por pagar, hechos cumplidos, anticipos, pago anticipado y la Resolucion R789 de 2022 Por la cual se establece la programación del cierre finanicero y presupuestal
De la revisión a las evidencias presentadas, se determinó el cumplimiento de la actividad, por lo que pasa al 100%. </t>
  </si>
  <si>
    <t>B) Como consecuencia de las fallas en el proceso administrativo de supervisión de los contratos ocasionó que en la vigencia 2021, la Universidad del Cauca realizara 23 pagos mediante la figura de conciliación por $204.178.309, Tabla No. 31. Relación de pagos por conciliación vigencia 2021</t>
  </si>
  <si>
    <t>Errores administrativos y deficiente labor en el seguimiento a las solicitudes de los diferentes actos administrativos, por ejecución de compromisos sin el cumplimiento previo de los requisitos de perfeccionamiento y/o ejecución.</t>
  </si>
  <si>
    <t>Fortalecer el desarrollo de las funciones de seguimiento a las solicitudes de los actos administrativos, de manera que se generen incentivos para que los solicitantes previamente a la ejecución de los compromisos  verifiquen el cumplimiento de los requisitos de perfeccionamiento y/o ejecución aplicables.</t>
  </si>
  <si>
    <t>Capacitar a los diferentes actores académicos (pregrado y posgrado), investigadores y administrativos que tienen a cargo el seguimiento a las solicitudes de los actos administrativos, sobre la configuración de los hechos cumplidos y los procesos en los que pueden verse involucrados los responsables en tales casos.</t>
  </si>
  <si>
    <t>Registro de capacitación</t>
  </si>
  <si>
    <t>Vicerrector Administrativo/ Profesional Especializado División de Gestión del Talento Humano
Vicerrectora Académica
Vicerrector de Investigaciones</t>
  </si>
  <si>
    <t>Conformación del expediente contractual. (A) (OI) De la revisión a la muestra de los expedientes contractuales, carpetas físicas como digitalizadas,  no se encontró soporte documental que evidencie el cumplimiento del objeto contractual en los siguientes contratos: • 6.1-31.3/007 del 10/11/2021, no se evidencia en el expediente la entrega de las camisetas a los estudiantes. • Los expedie</t>
  </si>
  <si>
    <t>No se ha documentado e implementado los instrumentos de control a las series documentales complejas de la Universidad del Cauca.</t>
  </si>
  <si>
    <t>Documentar e implementar instrumentos de control a las series documentales complejas, para preservar la integridad documental en la Universidad del Cauca.</t>
  </si>
  <si>
    <t>Diseñar y normalizar el formato hoja de control para series documentales complejas.</t>
  </si>
  <si>
    <t>Formato normalizado.</t>
  </si>
  <si>
    <t xml:space="preserve">" Hoja de Control Series Complejas, PA-GA-2.1.1-FOR-10, Versión 1 del 28/06/2022
Publicado en el banner del programa Lumen"
</t>
  </si>
  <si>
    <t>Con oficio 5-92.8/965 del 08/09/2022 la Vicerrectoría Administrativa  solicitó al Área de Gestión Documental capacitación para la implementación de la  Hoja de Control Series Complejas. Capacitación realizada el 24/10/2022 según reporte en el registro de asistencia a eventos institucionales.
Adjunta "relación de los contratos con hoja de control", que describe el tipo de contrato, la cantidad de contratos realizados en el II semestre de 2022, y la cantidad de contratos entregados al archivo.</t>
  </si>
  <si>
    <t>Secretaría General - Área de Gestión Documental
Vicerrector Administrativo</t>
  </si>
  <si>
    <t xml:space="preserve"> Elaborar el diagnóstico de los tipos documentales que integran los expedientes contractuales de las vigencia 2021</t>
  </si>
  <si>
    <t>Con oficio 5-71.7/378 del 23/06/2023, envió:
Documento  "DIAGNOSTICO DEL ESTADO DE LOS EXPEDIENTES CONTRACTUALES VIGENCIA 2021" y Anexo 1. Reconstrucción 2020-2021 en Excel
Documento "INFORME 2021":  cuyo objetivo es identificar el estado de los expedientes contractuales vigencia 2021.</t>
  </si>
  <si>
    <t xml:space="preserve">La Vicerrectoría Administrativa - Área de Contratación, elaboró el diagnóstico de los expedientes contractuales vigencia 2021, en el que describe la gestión adelantada para la reconstrucción de los expedientes contractuales, que contiene información requerida para la toma de decisiones por el Comité de Archivo. </t>
  </si>
  <si>
    <t xml:space="preserve">Solicitar a las dependencia los soportes faltantes para completar los expendientes, según el resultado del diagnóstico </t>
  </si>
  <si>
    <t xml:space="preserve">
Con oficio 5-71.7/378 del 23/06/2023 se remite las evidencias que dan cuenta de los requerimientos a las dependencias y/o universitrarios, cuyo asunto se relaciona con la reconstrucción de firmas de los diferentes tipos documentales que conforman los expedientes contractuales de la Vicerrectoría Administrativa, con base en el diagnóstico del estado de los expedientes contractuales 2021, entre ellos: Oficio 5-92.8/1123 de 2022; Correos electrónicos; Oficio 5-92.8/0038 de 2023; Oficio 5-92.8/0198 de 2023; Oficio 5-92.8/0199 de 2023; Oficio 5-92.5/0624 de julio de 2021; Oficio 5-52/638 de agosto de 2021; Oficio 5-92.8/739 de septiembre de 2021; Oficio 5-92.8/979 de septiembre de 2021; Oficio 5-52/125 de febrero de 2022; Oficio 5-52.5/254 de mayo de 2023; Oficio 6.1-52.5/294 de mayo de 2023; correo electrónico - VRI verificación de Contratación Vigencias 2020 y 2021; Correo electrónico- Certificados de pago faltantes Vigencias 2020 y 2021; Correo electrónico - VRI Contratos faltantes Vigencias 2020 y 2021; Correo electrónico - Contratos faltantes vigencias 2020 y 2021</t>
  </si>
  <si>
    <t>La Vicerrectoría Administrativa, requirió los expedientes contractuales con sus respectivas firmas, tipos documentales faltantes, entre otros,  a las instancias y/o universitarios para la reconstrucción del archivo 2021.
Se presentan solicitudes informales, sin aplicación de la respectiva TRD y sin suscribir por el Vicerrector Administrativo.</t>
  </si>
  <si>
    <t>Remitir al Comité de Archivo el informe del estado de los expedientes contractuales, vigencia 2021 con informacion incompleta para las decisiones correspondientes.</t>
  </si>
  <si>
    <t>II semestred e2024:
Con oficio 5-55.6/06 del 13/01/2024, recibido a través del correo electrónico de la OCI el 13/01/2025, la Vicerrectoría Administrativa remite los avances de los planes de mejoramiento vigencia 2020, 2021 y 2023.
Anexa el oficio 5-55.6/1349 del 24/12/2024 con el que se remite el informe de estado de los expedientes contractuales vigencias 2020 y 2021 y solicita se autorice la culminación del proceso de reconstrucción de los tipos documentales de los expedientes contractuales.</t>
  </si>
  <si>
    <t>II semestre de 2024
El informe contempla un universo de 1985 tipos documentales a recuperar de la vigencia 2021, de los cuales se recuperaron 1087 pendientes 898 e indica que se logró para la vigencia 2020 un 54.8% de documentos recuperados.
Se mantiene el 50% de avance, por la presentación del informe actualizado al Comité de Archivo, pendiente recepcionar las decisiones del Comité.</t>
  </si>
  <si>
    <t>DIEGO - OLGA VERIFICAR</t>
  </si>
  <si>
    <t>Contrato de obra pública No. 5.5-31.4/025 de 2021. (A) (D) A) En la revisión y comprobación del contrato 5.5-31.4/25 de 2021, de objeto “Suministro e instalación de iluminación exterior con luminarias LED fotovoltaicas para la primera etapa de la ciudadela universitaria en la sede norte Santander de Quilichao de la Universidad del Cauca”, por $179.062.199, suscrito el  30/12/2021, no se</t>
  </si>
  <si>
    <t>Deficiencias en la elaboración de pliegos de condiciones y minutas contractuales.</t>
  </si>
  <si>
    <t>Identificar y fortalecer controles a la elaboración pliegos de condiciones y minutas contractuales.</t>
  </si>
  <si>
    <t>Aclarar el alcance del requisito correspondiente a la presentación del comprobante del pago de la estampilla "Universidad del Cauca 180 años" en pliegos de condiciones y minutas de los contratos.</t>
  </si>
  <si>
    <t>Registro de socialización al Área de Contratación de la Vicerrectoría Administrativa sobre el alcance del requisito correspondiente a la presentación del comprobante del pago de la estampilla "Universidad del Cauca 180 años"  en pliegos de condiciones y minutas de los contratos.</t>
  </si>
  <si>
    <t>Acta 5-1.56 036 del 2022
Acta 5-1.56 040 del 2022</t>
  </si>
  <si>
    <t xml:space="preserve">El Area de contratación de la Vicerrectoría Administrativa, realizó reunión con todo su equipo en la que levantaron el acta n° 5.1-56/036 del 15 de septiembre de 2022, donde se trataron varios temas incluido con el pago de la estampilla Universidad del Cauca 180 años.
Adicionalmente, se realizo reunión con la Oficina Juridica y se socializo el Plan de Mejoramiento CGR 2021, y se trato lo relacionado a alcance del requisito correspondiente a la presentación del comprobante del pago de la estampilla "Universidad del Cauca 180 años"
Se revisó el acta 5-1.56/ 040 del 2022, en la que se evidenció que se efectuó la reunión con la Oficina jurídica, quién conceptuó sobre el tema en la sesión, y con base en ello, se tomaron decisiones respecto del requisito correspondiente a la presentación del comprobante del pago de la estampilla "Universidad del Cauca 180 años" 
Con lo anterior, se constató el cumplimiento de la actividad y se otorgó un avance del 100%. </t>
  </si>
  <si>
    <t>Vicerrector Administrativo
Área de Contratación</t>
  </si>
  <si>
    <t>Estandarizar las cláusulas de los pliegos de condiciones y minutas de los contratos, en los conceptos básicos.</t>
  </si>
  <si>
    <t>Porcentaje de  Cláusulas básicas estandarizadas en pliegos de condiciones y minutas tipo.</t>
  </si>
  <si>
    <t>Con oficio 5-71.7/378 del 23/06/2023, la Vicerrectoría Administrativa envió:
1. Proyecto de Modelo de Minuta de obra (CONTRATO 5.5-31.4/XXX DE 2023)
2. Contrato de obra 5.5-31.4/003 de 2023
3. Pliego de condiciones CP 005 de 2023 (Contruccion de una tulpa Universitaria en la sede Santander de Quilichao de la Universidad del Cauca)</t>
  </si>
  <si>
    <t>La Vicerrctoría Administrativa y la Oficina Juridica elaboraron  los modelos de minuta de obra y pliego de condiciones, los cuales se ha implementado en procesos de contratación de obra, entre ellos el de la construcción de la Tulpa Universitaria (Pliego de condiciones convocatoria 005 de 2023 y Contrato 5.5-31.4/003 de 2023)
Con lo anterior, se constató el cumplimiento de la actividad, paso de 20% a un 100% de avance</t>
  </si>
  <si>
    <t>B) Por otra parte, en el expediente contractual no se encontraron soportes de ejecución de la obra, ni los informes de supervisión e interventoría y del contratista; ni los comprobantes de egreso del anticipo para establecer el avance financiero. No se evidenciaron soportes de la Instalación de vallas informativas de acuerdo con el modelo suministrado por Unicauca, ni la entrega de ensay</t>
  </si>
  <si>
    <t>Deficiencias en el registro periódico del seguimiento que continuamente debe adelantar la supervisión y/o interventoría frente a la ejecución de los contratos.</t>
  </si>
  <si>
    <t>Interiorizar las  funciones a los responsables de la supervisión/interventoría de los contratos, para que de manera periódica adelanten gestiones oportunas y efectivas, orientadas al seguimiento contínuo de la ejecución de los contratos.</t>
  </si>
  <si>
    <t>Capacitar a los actores académicos, investigadores y administrativos con funciones de supervisión/interventoría de los contratos, sobre los procesos en los que pueden verse involucrados en el seguimiento contínuo de la ejecución de los contratos.</t>
  </si>
  <si>
    <t xml:space="preserve">Se evidenció que la Vicerrectoría Administrativa realizó capacitaciones sobre temas como funciones de supervisión, vigencias futuras, expiradas, reservas presupuestales, cuentas por pagar, hechos cumplidos, anticipos, pago anticipado y la Resolución R789 de 2022 por la cual se establece la programación del cierre financiero y presupuestal; determinando el cumplimiento de las actividades, por lo que pasaron al 100% de avance. 
</t>
  </si>
  <si>
    <t>Cuentas de cobro 2019 (A).
Los reportes de cuentas por cobrar y recaudos por cobrar 2019 del SQUID, presentan incongruencias e inoportunidad en el recaudo de cuentas de cobro, sobrestimando saldos en libros de la cuenta 131719 Admón  de Proyectos:
Cuenta de cobro del 14/06/2019 por $5.446.500, documento 014620, Contrato CCD-2018-IN-16-5.5.31.13/001 2018 de SIGLO DEL HOMBRE EDITORES S.A, recaudo del 30/7/2019 y transferida por interfaz el 30-01-2020 en Tesorería, y  en estado cancelada "ca" en Squid.
Cuenta de cobro del 4/06/2019 por $3.481.200, documento 014614, Convenio 035 VRI 2016 Hipertexto Ltda, recaudo el 19/9/2019 transferida por interfaz el 29/02/2020 en Tesorería, y estado cancelada "ca" en Squid.
Cuentas de cobro de CHANNEL PLANET S.A.S, reintegro de anticipo por capacitación no realizada,  No. 014632 del 5/08/2019 por $500.000, 014633 del 5/08/2019 por $500.000, 014634 del 5/08/2019 por $500.000 y 014638 del 14/08/2019 por $526.124, no canceladas en 2019 y más de 90 días por cobrar (...)</t>
  </si>
  <si>
    <t>Situaciones originadas en la parametrización de los sistemas de información de facturación y cartera de la universidad, que no se ajustan a los principios generales de contabilidad pública ni al marco contable para entidades de gobierno y,  por ausencia de seguimiento y control a la gestión de recaudo.</t>
  </si>
  <si>
    <t>28/11/2022</t>
  </si>
  <si>
    <t>En físico.</t>
  </si>
  <si>
    <t>"Con oficio 5-84/0662 del 7/09/2022, la Vicerrectoría Administrativa remitió un diagnóstico con la identificación de conceptos a la fecha, y que se encuentran parametrizados en el sistema, sin embargo, informan que se envió la solicitud de información a diferentes dependencias y facultades, para idfentificar y parametrizar los nuevos conceptos.
Con oficio 5-84/ 0860 del 25/11/2022, la vicerrectoría Administrativa remitió diagnóstico donde identifica los conceptos faltantes por parametrizar.
OCI: En la visita realizada por la OCI el 28/11/2022 a la Técnica Administrativa de Cartera, se evidenció que se realizó el diagnóstico sobre los conceptos que afectan la cuenta deudores, en las diferentes dependencias y facultades de la Institución.
Se evidencia la completitud de la actividad, por lo que se asigna un avance del 100%."</t>
  </si>
  <si>
    <t xml:space="preserve">De acuerdo al compromiso adquirido por la técnica Administrativa de cartera en el seguimiento realizado el 28/11/2022, mediante correo electrónico del mísmo día, se remitió el registro de los conceptos identificados y parametrizados en el sistema, cumpliendo con la totalidad de conceptos remitidos por las dependencias y facultades.
El avance pasó al 100%. </t>
  </si>
  <si>
    <t>Realizar seguimiento a la cuenta deudores.</t>
  </si>
  <si>
    <t xml:space="preserve">La Vicerrectoría Administrativa con oficio 5-71.7/646 del 17/11/2023 remitió las siguientes evidencias: 
1. Oficio 5-84/485 del 25 de octubre de 2023
 2. Carpetas comprimida con evidencias cobro coativo </t>
  </si>
  <si>
    <t>II semestre 2023: Se evidencia el seguimiento que el grupo de Credito de Cartera de la Vicerrectoria Administrativa realizó a la cuenta deudores - servicios académicos, para lo que informan que "del 100% de la cartera catalogada en esta instancia se remite una muestra del 26,79% que demuestra las actuaciones adelantadas para la recuperación de la cartera, en la que se presentan 47 expedientes activos con sus respectivos soportes y por otro lado, otros 50 expedientes que vlidan la gestión efectiva de cobro, dado que se recupera al 100% el valor de la deuda".
En la revisión aleatoria de los soportes remitidos, se evidencian acuerdos de pago, recibos de pago de cuotas y la terminación de los acuerdos de pago por finalización de la deuda. Además, la aplicación de los formatos de seguimiento de cartera- etapa persuasiva- etapa coativa y lista de cjequeo de crédito y cartera, el envío de notificaciones a los deudores, entre otros, con los que se evidencia el seguimiento realizado. 
Con la evidencia de los seguimientos permanentes realizados a los deudores, se da cumplimiento a la actividad en un 100%.</t>
  </si>
  <si>
    <t>La División de Gestión Financiera Con oficio 5-71.7/378 del 23/06/2023, envió las notas de tesorería sobre los ajustes pertinentes, así:
SIGLO DEL HOMBRE EDITORES S.A: D803-202001770 del 30-ENE-2020
HIPERTEXTO LTDA:  D803-202004642 del 29-FEB-2020
CHANNEL PLANET S.A.S: D803-202114928 del 22-JUN-2021, D803-202233560, D803-202233561 y D803-202233563 del 09-SEP-2022</t>
  </si>
  <si>
    <t xml:space="preserve">2023: La División de Gestión Financiera envió las notas de teseorería de los ajustes de corrección realizados a todos los terceros mencionados en el hallazgo de la vigencia 2019, con lo que se da cierre.
Sin embargo,la OCI continuará valorando la permanencia en la mejora en cuanto a los seguimientos permanentes a la cuenta deudores. </t>
  </si>
  <si>
    <t>Legalización de Anticipos (A, D)
Verificado los anticipos de las cuentas contables que se relacionan a continuación, se evidencian saldos con periodo de morosidad superior a 365 días, sin registros de amortización durante la vigencia 2020: Cuenta Contable 1.9.06.01 ANTICIPOS SOBRE CONVENIOS Y ACUERDOS. Presenta anticipos por $5.668.702.584 realizados en vigencias anteriores, los cuales durante la vigencia 2020, no presentan registros de amortizaciones y/o legalizaciones, por diferentes convenios y/o contratos suscritos. Ver tabla N° 23 informe C.G.R.</t>
  </si>
  <si>
    <t>Legalización de Anticipos (A, D) Verificado los anticipos de las cuentas contables que se relacionan a continuación, se evidencian saldos con periodo de morosidad superior a 365 días, sin registros de amortización durante la vigencia 2020: Cuenta Contable 1.9.06.01 ANTICIPOS SOBRE CONVENIOS Y ACUERDOS. Presenta anticipos por $5.668.702.584 realizados en vigencias anteriores, los cuales durante la vigencia 2020, no presentan registros de amortizaciones y/o legalizaciones, por diferentes convenios y/o contratos suscritos. Ver tabla N° 23 informe C.G.R.</t>
  </si>
  <si>
    <t>La División de Gestión Financiera con oficio 5.2-52.2/007 del 17/11/2023 remitió las siguientes evidencias: 
1. Procedimiento Egresos Presupuestales PA-GA 5.2-PR-6, versión 7 del 30/10/2023</t>
  </si>
  <si>
    <t>Cuenta Contable 1.9.06.04 ANTICIPOS PARA ADQUISICIÓN DE BIENES Y SERVICIOS. Presenta anticipos por $421.815.499 realizados en vigencias anteriores, los cuales durante el año 2020 no presentan registros de amortizaciones y/o legalizaciones, por diferentes convenios y/o contratos suscritos. Ver tablas N° 23, 25 y 26 del informe C.G.R.</t>
  </si>
  <si>
    <t>La División de Gestión Financiera con oficio 5.2-52.2/007 del 17/11/2023 remitió las siguientes evidencias: 
1. Procedimiento PA-GA 5.2-PR-6, Egresos Presupuestales versión 7 del 30/10/2023</t>
  </si>
  <si>
    <t>SEGUIMIENTO PLAN DE MEJORAMIENTO - CONTRALORÍA GENERAL DE LA REPÚBLICA AUDITORÍA VIGENCIA 2023</t>
  </si>
  <si>
    <t>Auditoría Externa vigencia 2023</t>
  </si>
  <si>
    <t>Consolidación otras Cuentas x cobrar. UC al consolidar sus EF no depuró los saldos de Operaciones entre unidades 01, 02 y 04 de la entidad, inobservando el Artículo 1 de la Resolución 625/2018 CGN, generando a 31/12/2023 una sobrestimación en los Saldos de las Subcuentas 138413. Devolución IVA para IES x $2.672.251.462 y en la Cuenta 138416 Enajenación de activos x $546.140.000. (A)</t>
  </si>
  <si>
    <t>Falta de depuración de la información de algunas partidas para la preparación y  presentación de los estados financieros.</t>
  </si>
  <si>
    <t>Identificar y depurar las partidas suceptibles de ajuste para la presentación de los  informes financieros</t>
  </si>
  <si>
    <t xml:space="preserve">Realizar informes trimestrales y estados financieros con los ajustes de acuerdo a la depuración realizada </t>
  </si>
  <si>
    <t>Informes trimestrales y estados financieros anual</t>
  </si>
  <si>
    <t xml:space="preserve">II semestre 2024:
La División de Gestión Financiera con 5.2-55.6/1254 del 20/12/2024 remitió: 
1. Acta 5.2-3.58/0034 del 26-Jul-2024 Socialización hallazgo 1, identificación de partidas internas suceptibles de eliminación entre unidades del informe financiero contable del segundo trimestre de 2024.
2. Acta 5.2-3.58/0035 del 06-Ago-2024 Procedimiento para el reconocimiento contable de devolución de IVA para IES entre unidades y transferencia de los recursos entre unidades.
3. Acta 5.2-3.58/0050 de 29-Oct-2024 identificación de partidas internas suceptibles de eliminación entre unidades del informe financiero contable del tercer trimestre de 2024.
4. Informes financieros segundo trimestre 2024
5. Informes financieros tercer trimestre </t>
  </si>
  <si>
    <t xml:space="preserve">II semestre 2024: 
Se evidenció que la División de Gestión Financiera identificó las diferentes partidas internas suceptibles de eliminación entre unidades, y aclaró con su equipo de trabajo y unidade 2, el procedimiento para la constitución de la cuenta por cobrar a la DIAN, reclasificación de terceros, constitución de cuentas por cobrar y pagar internas entre unidades, y la Transferencia de recursos y cancelación de cuentas por cobrar y saldos a favor sin traslados de recursos. Con lo que procedió a eliminar internamente dichas cuentas, para consolidar los informes financieros contables del segundo y tercer trimestre de la vigencia 2024. 
Por lo anterior, se asigna un avance del 67%, el porcentaje restante corresponde a la realización y presentación de la actividad en el cuarto teimestre del 2024, y la valoración de la efectividad con el primer trimestre de la vigencia 2025. </t>
  </si>
  <si>
    <t xml:space="preserve">Profesional especializado División de Gestión Financiera
Jefe División administrativa y financiera Unidad de Salud </t>
  </si>
  <si>
    <t>La Universidad del Cauca, no realizó el traslado de la cuenta contable 1615 Construcciones en curso - Edificaciones a la cuenta 1640 Edificaciones del valor correspondiente al bloque 1 de la Ciudadela Universitaria sede Santander de Quilichao, que se encuentra en funcionamiento desde el segundo período académico de 2022 y tampoco realizó el cálculo y registro de la respectiva depreciación de la edificación en uso, lo que originó una subestimación en las subcuentas 164001 Edificaciones - Edificios y casas por $6.149.913.697 y 168501 Depreciación acumulada de propiedades, planta y equipo - Edificaciones por $215.861.971.</t>
  </si>
  <si>
    <t>Deficiencias en el reconocimiento de la realidad contable y económica de la Universidad, en el ejercicio de las funciones de control interno contable y del Comité Técnico de Sostenibilidad Contable, por la inobservancia de los principios, normas y procedimientos del proceso contable, así como la política contable de la entidad, que afectan la calidad de la información contable pública revelada a 31 de diciembre de 2023</t>
  </si>
  <si>
    <t xml:space="preserve">
Realizar  la reclasificación contable del bloque 1 de la ciudadela Universitaria sede Santander de Quilichao, una vez se cuente con el documento soporte correspondiente</t>
  </si>
  <si>
    <t>Solicitar  la certificación del valor invertido del bloque 1 de la ciudadela Universitaria Sede Santander de Quilichao</t>
  </si>
  <si>
    <t>Certificación del valor invertido</t>
  </si>
  <si>
    <t>II semestre 2024: 
La Vicerrectoría Administrativa mediante oficio 5-55.6/06 del 13/01/2025 remitió las siguientes evidencias: 
1. Oficio 2-55.6/0610 de julio de 2024
2. Oficio 5-55.6/1117 de noviembre de 2024
3. Oficio 5-55.6/1238 de diciembre de 2024</t>
  </si>
  <si>
    <t xml:space="preserve">II semestre 2024: 
La OCI evidenció que durante el II semestre del 2024, la Universidad del Cauca realizó varios requerimientos a la Gobernación del Cauca, solicitando el balance final de obra y balance del valor ejecutado en el bloque de aulas N° 1-Ciudadela Universitariala, sin obtener respuesta. Por lo anterior, y teniendo en cuenta que la actividad establece la obtención de la Certificación del valor del bloque1, no se asigna avance. </t>
  </si>
  <si>
    <t xml:space="preserve">Vicerrector Administrativo </t>
  </si>
  <si>
    <t>Presentar ante el Comité de Sostenibilidad Contable la certificación del valor invertido del bloque 1 de la ciudadela Universitaria Sede Santander de Quilichao para su respectivo aval y registro contable</t>
  </si>
  <si>
    <t xml:space="preserve">Porcentaje de registros en los sistemas SRF y Finanzas Plus </t>
  </si>
  <si>
    <t>II semestre 2024:
La División de Gestión Financiera con 5.2-55.6/1254 del 20/12/2024 remitió: 
1. Oficio 5.2-55.6/0438 de 21-May-2024, 
2. Oficio 5.2-55.6/0719 de 14-Ago-2024 
3. Oficio 5.2-55.6/0911 23-Sep-2024
4. Oficio 2-55.6/0610 de julio de 2024
5. Correo electrónico respuesta supervisor
6. Correo electrónico respuesta interventor
7. Acta Comité Técnico Sostenibilidad Contable 5.2-3.7/0002 del 12-Dic-2024</t>
  </si>
  <si>
    <t>II semestre 2024: 
La OCI evidenció las solicitudes realizadas por la División de Gestión Financiera al supervisor del contrato de Obra Pública N° 5.5-31.4/022 de 2017, relativas a la certificación del valor invertido en el Bloque 1 Ciudadela Santander de Quilichao, sin obtenerla.
Además, en el Comité Técnico de Sostenibilidad Contable del 12/12/2024 se trató el asunto, y se informó que el representante de la interventoría BERAKAH INGENIERIA S.A.S emitió un correo el 11/12/2024, manifestando que la elaboración de la certificación depende del cierre del balance general del proyecto, por lo que la División se comprometió a solicitar la ampliación del plazo de la actividad.
En conclusión, la actividad no presenta avance en el seguimiento, por lo que su cierre está supeditado a la entrega del balance final del proyecto que emita la firma interventora y las gestiones que realice el supervisor del contrato de obra designado por la Universidad del Cauca, para obtener el valor invertido en el Bloque 1 de la Ciudadela Univeritaria, y proceder a la reclasificación contable y sus respectivos cálculos y registros en los Sistemas de Información SRF y Finanzas Plus.</t>
  </si>
  <si>
    <t>Profesional especializado División Gestión Financiera
Profesional especializado Área de Adquisiciones e inventarios</t>
  </si>
  <si>
    <t>Devolución IVA Tercer, Quinto y Sexto bimestre 2022
Hallazgo que evidencia por parte de la Universidad del Cauca una gestión administrativa y jurídica deficiente dada la inobservancia e incumplimiento de los términos establecidos en el artículo 1.6.1.19.5 de Decreto 1625 de 2016 que concede cinco (5) días para interponer el recurso de reposición ante la inadmisión en el trámite de devolución del IVA del tercer periodo 2022 y dejo de interponer el recurso de reconsideración ante la negación de la devolución del IVA por parte de la DIAN para los bimestres quinto y sexto de 2022, hecho que afecto la gestión para recuperar los recursos a favor de la Universidad por concepto de la devolución del IVA de los periodos tercero, quinto y sexto de 2022.</t>
  </si>
  <si>
    <t>Deficiencias en la gestión administrativa y jurídica de la Universidad del Cauca al no interponer los recursos de ley dentro del término ante los actos administrativos mediante los cuales la DIAN niega la devolución del IVA del tercer, quinto y sexto bimestre del 2022, lo cual afecto e implicó que la Universidad del Cauca no lograra el recuperar los recursos correspondientes al beneficio fiscal que la ley le otorga por la devolución del IVA de los periodos tercero, quinto y sexto del 2022, para el financiamiento de la función social del ente público universitario</t>
  </si>
  <si>
    <t xml:space="preserve">Establecer el mecanismo de continuidad de las comunicaciones para la recepción de correos enviados por la DIAN </t>
  </si>
  <si>
    <t xml:space="preserve">Solicitar a la División de TIC la redirección de los correos enviados por la DIAN hacia la División de Gestión Financiera </t>
  </si>
  <si>
    <t>Solicitud enviada a la División de TIC</t>
  </si>
  <si>
    <t xml:space="preserve">
II semestre de 2024:
Con oficio 5.2-55.6/1254 del 20/12/2024 la División de Gestión financiera informa que mediante las siguientes comunicaciones dio cumplimiento a la creación, designación y seguimiento al correo devolucionesivadian@unicauca.edu.co, para lo cual se realizó lo siguiente:
1. Solicita a la División de las TIC la creación de correo electrónico para el redireccionamiento de los correos con extensión @dian.gov.co recibidos en el correo rectoria@unicauca.edu.co
2. Confirmación por parte de las TIC sobre la creación del correo devolucionesivadian@unicauca.edu.co
3. Solicitud de designación del funcionario responsable del seguimiento y revisión del correo creado.
4. Comunicación a la Oficina de Control Interno sobre el cumplimiento de la actividad relacionada con el hallazgo
Evidencias cumplimiento de actividades
1. Oficio 5.2-55.6-0629 de 16-07-2024.PDF
2. Oficio 5.3-55.6-644 de 17-07-2024.PDF
3. Oficio 5.2-55.6-0636 de 18-07-2024.PDF
4. 4. Oficio 5.2-55.6-0704 de 05-08-2024.PDF</t>
  </si>
  <si>
    <t>II semestre de 2024:
La OCI verificó la creación de la cuenta de correo electrónico devolucionesivadian@unicauca.edu.co y notificación por la división de TIC´s de la configuración de correo electrónico de la rectoría para el redireccionamiento de los correos con extensión @dian.gov.co recibidos.
La actividad se cierra</t>
  </si>
  <si>
    <t>Rector
Profesional Universitaria
Profesional especializado División de Gestión Financiera</t>
  </si>
  <si>
    <t>Agotar todas las instancias (en caso del rechazo parcial o total del reconocimiento del IVA, por la DIAN), dentro de los términos legales para interponer el recurso de reposición con apoyo de la Oficina Jurídica.</t>
  </si>
  <si>
    <t>Remitir a la Oficina Jurídica oportunamente los soportes respectivos para que se inicien las acciones correspondientes.</t>
  </si>
  <si>
    <t>Porcentaje de oficios remisorios de la información a la Oficina Jurídica</t>
  </si>
  <si>
    <t>II semestre de 2024:
Con oficio 5.2-55.6/1254 del 20/12/2024 la División de Gestión financiera informa que mediante diferentes comunicaciones solicitó a la Oficina Asesora Jurídica interponer Recurso de Reconsideración ante la Dirección de Impuestos y Aduanas Nacionales, teniendo en cuenta que durante el segundo semestre de 2024, la DIAN en su artículo quinto del considerando del despacho y artículo tercero del resuelve de la Resolución 608-10907 del 18/11/2024, rechaza el valor de $1.808.800 correspondiente a dos (2) facturas que hacen parte de la solicitud de devolución de IVA del cuarto bimestre de 2024.
Para interponer el Recurso de Reconsideración que trata el Artículo Cuarto del resuelve de la Resolución 608-10907 del 18/11/2024, se adjuntaron copias de los siguientes documentos:
1. Oficio 5.2-55.6-1231 del 06-Dic-2024 OAJ.PDF
2. Res-608-10907 del 18-Nov-2024_DIAN.PDF
3. Resolución R-726 del 13-Nov-2013 Legalización de Avances.
4. Res_VADM-1586 3-May-2024.PDF
5. Acuerdo Académico 014 22-Jun-2024 Calendario académico IP2024.PDF
6. RESOL. VADM-3409 Suspensión Vacaciones_Lucy Alejandra Cruz Astudillo.PDF
7. D902-202400364_12-JUL-2024_Legalización Avance.PDF
8. D902-202400400_01-AGO-2024_Legalización Avance.PDF</t>
  </si>
  <si>
    <t>II semestre de 2024:
La OCI conoció el oficio 5.2-55.6/1231 del 06/12/2024  enviado a la Oficina Jurídica de la Universidad del Cauca, con el que la división gestión financiera solicita interponer recurso de recondieración ante la DIAN para la devolución del IVA de dos facturas. Pendiente la gestión de la Oficina Jurídica.
La actividad se cierra</t>
  </si>
  <si>
    <t xml:space="preserve">Profesional especializado División de Gestión Financiera
Jefe administrativo y financiero  Unidad de Salud
Jefe Oficina Jurídica </t>
  </si>
  <si>
    <t xml:space="preserve">Tramitar ante la DIAN la recuperación del IVA rechazado parcial o total </t>
  </si>
  <si>
    <t>Porcentaje de trámites realizados</t>
  </si>
  <si>
    <t>II semestre de 2024:
La Oficina Jurídica mediante correo electrónico del 17/01/2025 remitió: 
Acta de Audiencia de Conciliación y Auto int. N° 1330</t>
  </si>
  <si>
    <t xml:space="preserve">II semestre de 2024:
La Oficina Jurídica de la Universidad del Cauca presentó solicitud de conciliación extrajudicial en contra de la DIAN, la cual se declaró fracasada, por lo que presentó fórmula demanda contra la Nación - Dirección De
Impuestos Y Aduanas Nacionales “DIAN”, en Acción Contencioso-
Administrativa, medio de control: nulidad y restablecimiento del derecho.
De otra parte, la Oficina Jurídica comunica que respecto de la solicitud realizada por la División de Gestión Financiera del 6 de diciembre del año 2024, aún se encuentra dentro de los terminos de ley para interponer el recurso de reconsideración. 
Siendo que la actividad refiere las gestiones realizadas posteriormente a la auditoría, no se asigna avance. </t>
  </si>
  <si>
    <t xml:space="preserve">Jefe Oficina Jurídica </t>
  </si>
  <si>
    <t>Hallazgo que evidencia deficiencias en la gestión administrativa antieconómica al generar erogaciones patrimoniales que no hacen parte de la ejecución eficaz de los recursos como lo son los intereses moratorios, no obstante, se configura en beneficio de auditoría por $6.648.373, por la recuperación de los intereses de mora pagados por la Universidad del Cauca en la vigencia 2023, soportados en depósito de $650.260 consignados a favor de la Universidad en cuenta del banco popular y la suscripción de 2 acuerdos de pago por $5.998.113 para ser pagados mensualmente por descuento de nómina.</t>
  </si>
  <si>
    <t>Deficiencias en la gestión administrativa, financiera y las funciones de control interno de la Universidad, al generar erogaciones patrimoniales que no hacen parte de la ejecución eficaz y económica de la entidad como lo son los intereses moratorios, observándose una gestión administrativa antieconómica, ineficaz, ineficiente e inoportuna, que afectó la disponibilidad y el fin especifico de los recursos por $6.648.373, que se consideran constitutivos de daño patrimonial al Estado</t>
  </si>
  <si>
    <t>Establecer mecanismos de control administrativo  y financiero previo a la autorización de expedición del CDP para evitar erogaciones patrimoniales por intereses moratorios, multas u otros.</t>
  </si>
  <si>
    <t>Realizar acciones de control administrativo y financiero para evitar erogaciones patrimoniales por intereses moratorios, multas u otros.</t>
  </si>
  <si>
    <t>Circular normativa y glosas de devolución</t>
  </si>
  <si>
    <t>II semestre de 2024
Con oficio 5.-55.6/06 del 13/01/2024 recibido a través de la cuenta de correo electrónico de la OCI el 13/01/2025, se remite la circular Dispositiva N° 2-12.1/002 del 27/12/2024 expedida por la rectoría de la Unversidad del Cauca, dirigida a los funcionarios públicos, de asunto "Pago de multas o sanciones e intereses de mora"</t>
  </si>
  <si>
    <t>Segundo semestre de 2024
La OCI conoció la  circular Dispositiva N° 2-12.1/002 del 27/12/2024, publicada en el portal web Institucional, relacionada con "Pago de multas o sanciones e intereses de mora", en la que se imparten directrices dirigidas a los funcionarios públicos.
La finalización de la actividad depende de la verificación de las acciones realizadas para evitar erogaciones patrimoniales por el pago de intereses moratorios en el primer semestre del 2025.</t>
  </si>
  <si>
    <t>Vicerrector Administrativo -Profesional especializado División Gestión Financiera</t>
  </si>
  <si>
    <t>Hallazgo que evidencia una gestión antieconómica al generar erogaciones patrimoniales que no hacen parte de la ejecución eficaz de los recursos, como lo son el pago de multas e intereses moratorios, no obstante, se configura un beneficio de auditoría por $1.548.650 por la recuperación de los valores pagados por las multas de tránsito, soportados en 2 depósitos por $1.548.650 consignados a favor de la Universidad en cuenta del banco popular, realizados por los exfuncionarios.</t>
  </si>
  <si>
    <t>Deficiencias en la gestión administrativa, financiera y las funciones de control interno de la Universidad, al generar erogaciones patrimoniales que no hacen parte de la ejecución eficaz y económica de la entidad como lo son el pago de multas e intereses moratorios, observándose una gestión administrativa antieconómica que afectó la disponibilidad y el fin especifico de los recursos por $1.548.650, que se consideran constitutivos de daño patrimonial al Estado</t>
  </si>
  <si>
    <t xml:space="preserve">Implementar herramientas de control para determinar los posibles responsables de las eventuales infracciones de tránsito terrestre </t>
  </si>
  <si>
    <t>Consultar mensualmente la plataforma SIMIT el estado de cuenta de las infracciones de los vehículos de la Universidad del Cauca.</t>
  </si>
  <si>
    <t xml:space="preserve">Porcentaje de registro de consulta </t>
  </si>
  <si>
    <t>II Semestre de 2024
Con oficio 5.4.4-55.6/725 del 6/12/2024 se remiten los anexos relacionados con el Área deSeguridad, Control y Movilidad y se informa:
Se realiza revisión en la plataforma SIMIT y se descargan soportes en pdf del resultado de la consulta de infracciones por placa de cada uno de los vehículos que administra el parque automotor.</t>
  </si>
  <si>
    <t>II semestre de 2024
La OCI evidenció las consultas ralizadas a través del SIMIT el estado de los vehículos del parque automotor de la Universidad del Cauca con fecha 30/08/2024, 24/09/2024, 21/10/2024, 18/11/2024 y 27/12/2024
La Actividad se cierra
La OCI recomienda continuar con las consultas periódicas del estado de  los vehículos del parque automotor de la Universidad del Cauca, como medida de autocontrol, para evitar el pago de intereses moratorios que conlleven a detrimentos patrimoniales.</t>
  </si>
  <si>
    <t>Profesional Especializado División Administrativa y de Servicios 
Profesional Universitario Área de Seguridad, Control y Movilidad</t>
  </si>
  <si>
    <t>Notificar al infractor y a la administración universitaria las posibles infracciones de tránsito impuestas a los conductores de la Universidad del Cauca para la exigencia del pago</t>
  </si>
  <si>
    <t>Porcentaje de notificaciones de exigencia de pago</t>
  </si>
  <si>
    <t>II Semestre de 2024
Con oficio 5.4.4-55.6/725 del 6/12/2024 se remiten los anexos relacionados con el Área deSeguridad, Control y Movilidad y se informa:
Que debido a que no se han presentado multas en el segundo semestre no se realiza notificación a infractores.</t>
  </si>
  <si>
    <t>II semestre de 2024
La OCI evidenció las consultas ralizadas a través del SIMIT el estado de los vehículos del parque automotor de la Universidad del Cauca con fecha 30/08/2024, 24/09/2024, 21/10/2024, 18/11/2024 y 27/12/2024 en las que no se observa que no se presentaron multas durante el periodo de seguimiento, por lo que no se realizaron notificaciones
La Actividad se cierra
La OCI recomienda continuar con las consultas periódicas del estado de  los vehículos del parque automotor de la Universidad del Cauca, como medida de autocontrol, para evitar el pago de intereses moratorios que conlleven a detrimentos patrimoniales.</t>
  </si>
  <si>
    <t xml:space="preserve">
Profesional Especializado División Administrativa y de Servicios 
Profesional Universitario Área de Seguridad Control y Movilidad</t>
  </si>
  <si>
    <t>Hallazgo que evidencia una gestión antieconómica al generar erogaciones patrimoniales que no hacen parte de la ejecución eficaz de los recursos, como lo son el pago de multas e intereses moratorios, no obstante, se configura un beneficio de auditoría por $1.548.650 por la recuperación de los valores pagados por las multas de tránsito, soportados en 2 depósitos por $1.548.650 consignados a favor de la Universidad en cuenta del banco popular, realizados por los exfuncionarios</t>
  </si>
  <si>
    <t>Incluir en el formato establecido para la solicitud préstamo de vehículos, en  el ítem "Aspectos a tener en cuenta" las obligaciones alusivas al cumplimiento de las normas de tránsito por los coductores de la Universidad del Cauca</t>
  </si>
  <si>
    <t xml:space="preserve">Formato ajustado </t>
  </si>
  <si>
    <t>II semestre de 2024
 Se realiza actualizacion del formato y se envia a la oficina de Gestion de la Calidad para la actualizacion en la plataforma lvmen y con oficio 5.54.4-55.6/696 del  15/11/2024 se solicitó al Centro de gestión de la Calidad y Acreditación Institucional, la actualización del formato PA-GA-5.4.4-FOR-1 "Solicitud de préstamo de vehículos".</t>
  </si>
  <si>
    <t>II semestre de 2024
La OCI constató la actualización y publicación en la plataforma lvmen, del formato PA-GA-5.4.4-FOR-1 "Solicitud de préstamo de vehículos", versión 5 del 18/11/2024.
La actualización incluyó, entre otros, la definición de los campos a diligenciar, se ajustaron los aspectos a tener encuenta y se adiconó uno.
La actividad se cierra</t>
  </si>
  <si>
    <t xml:space="preserve">
Profesional Especializado División Administrativa y de Servicios 
Profesional Universitario Área de Seguridad Control y Movilidad
Director del Centro de Gestión de la Calidad y Acreditación Institucional </t>
  </si>
  <si>
    <t>Hallazgo que evidencia la constitución de reservas sin justificación o motivadas en situaciones que no son excepcionales por fuerza mayor o caso fortuito, sino que corresponden al giro normal de la ejecución contractual y, por tanto, previsibles, contraviniendo el principio de anualidad presupuestal y planeación contractual generando una sobrestimación de las reservas en el 2023 por $3.746.022.344, similar situación ocurrió para las reservas en la vigencia 2022.</t>
  </si>
  <si>
    <t>Vulneración e inobservancia de los principios de planeación contractual y anualidad presupuestal en que ha incurrido la Universidad del Cauca, la constitución irregular de las reservas presupuestales es reiterada, no sólo por la multiplicidad de eventos detectados que ascienden a un total de 26 casos, sino también porque se repiten en las vigencias 2022 y 2023.
Lo anterior debido a la inobservancia legal, deficiencias en el proceso de planeación contractual y de control interno, que afectó el uso eficiente y oportuno de los recursos constituidos como reservas presupuestales al cierre de la vigencia 2022 y 2023.</t>
  </si>
  <si>
    <t xml:space="preserve">Establecer controles efectivos tendientes a la ejecución del gasto dentro de la vigencia fiscal. </t>
  </si>
  <si>
    <t>Elaborar calendario administrativo de ejecución para la vigencia 2025</t>
  </si>
  <si>
    <t>Acto administrativo</t>
  </si>
  <si>
    <t>II semestre de 2024
Con oficio 5.-55.6/06 del 13/01/2024 recibido a través de la cuenta de correo electrónico de la OCI el 13/01/2025, remite la resolución N° VADM 6177 del 19/12/2024 por la cual se establece el calendario administrativo para la vigencia 2025.</t>
  </si>
  <si>
    <t>II semestre de 2024
La evidención la publicación de la resolución N° VADM 6177 del 19/12/2024 por la cual se establece el calendario administrativo para la vigencia 2025, en el portal web Institucional - enlace resoluciones.
Se cierra la actividad</t>
  </si>
  <si>
    <t>Vicerrector Administrativo
Vicerrector de investigaciones</t>
  </si>
  <si>
    <t xml:space="preserve">Realizar informe consolidado del comportamiento de la ejecución presupuestal de los recursos asignados a la vigencia, dirigidos a  la Dirección Universitaria con el propósito que tomen las acciones a que haya lugar. </t>
  </si>
  <si>
    <t>Informe  consolidado</t>
  </si>
  <si>
    <t xml:space="preserve">II semestre de 2024:
La División de Gestión Financiera con Oficio 5.2-55.6/0856 del 10/09/2024 remitió a la Vicerrectoría Administrativa: 
1. Informe de ejecución de ingresos y gastos con corte a julio 2024
2. Tablas Julio
3. Gráficas Julio 
Además, con oficios 5,2-27,12/193 al 210, la División de Gestión Financiera remitió los informes de ejecución de gastos a los ejecutores del presupuesto. 
Mediante Oficio 5-55.6/06 del 13/01/2025, la Vicerrectoría Administrativa remitió
1. Detalle reservas vigencia 2023 - INFORME CS
2. presentación informe ejecución reservas vigencia 2023
De igual manera, con oficios 2-55,6/416, 422 al 427 del 16/05/2024 la Rectoría realizó seguimiento para solicitar el avance de la ejecución o liquidación de las reservas de la vigencia 2023, así mismo, la División de Gestión Financiera y la Vicerrectoría Administrativa realizaron diferentes seguimientos a la ejecución estas.
Por su parte, la OCI emitió los oficios 2.6-27.8/479 al 481 relativos al impulso a la ejecució de reservas. </t>
  </si>
  <si>
    <t xml:space="preserve">II semestre 2024: 
La OCI observó que la División de Gestión Financiera remitió el informe de ejecución del presupuesto de ingresos y gastos de la Universidad del Cauca al Vicerrector Administrativo, con corte a Junio del 2024, y con corte a 30 de septiembre remitió la ejecución de gastos a sus ejecutores, con el fin de que se realizaran las acciones correspondientes, con el fin de obtener mejores resultados en su ejecución.
De otra parte, se observaron las diferentes gestiones realizadas para ejecutar y/o liquidar las reservas de la vigencia 2023, como corrección al hallazgo determinado, actividad que en diciembre del 2024 continúa en ejecución. 
En conclusión, la OCI evidenció el cumplimiento de la actividad planteada sobre la ejecución del presupuesto de la vigencia 2024, y la toma de acciones de corrección sobre las reservas de la vigencia 2023, por lo que se asigna un avance del 100%.
Sin embrago, la OCI continuará con el seguimiento a la efectividad de los controles de efectividad y corrección relacionadas con el asunto. </t>
  </si>
  <si>
    <t>Profesional Especializada División Gestión Financiera
Vicerrector de investigaciones
Vicerrector administrativo
Jurídica</t>
  </si>
  <si>
    <t>Análisis financiero integral a los procesos y modificaciones contractuales en el momento en que se solicite</t>
  </si>
  <si>
    <t xml:space="preserve">Porcentaje de registro de análisis </t>
  </si>
  <si>
    <t xml:space="preserve">
II semestre 2024:
Mediante Oficio 5-55.6/06 del 13/01/2025, la Vicerrectoría Administrativa remitió:
1. Oficios de solicitud seguimiento a reservas vigencia 2023 supervisores
2. Requerimientos a supervisores para liquidación de contratos 2024
3. Resolución Rectoral N° 0853 de 2024 - lineamientos y cronogramas para el cierre de procesos administrativos, presupuestales, de tesorería, contables y de control de bienes
4. Informe de reservas presentado al Consejo Superior </t>
  </si>
  <si>
    <t xml:space="preserve">II semestre 2024: 
La OCI observó que en la vigencia 2024 se realizaron requerimientos a los supervisores, ordenadores del gasto y responsables de la gestión de la ejecución de reservas presupuestales, con el fin de generar alertas, establecer controles y asegurar la correcta ejecución de los contratos para los cuales se constituyeron reservas de apropiación de la vigencia 2023. 
Además, se observó la notificación a los supervisores de los contratos suscritos durante la vigencia 2024, con el plazo contractual cumplido, con la finalidad de generar una alerta y promover la ejecución oportuna del gasto dentro de la vigencia fiscal, asegurando el cumplimiento de los plazos establecidos en el cronograma de cierre de vigencia fiscal, y se publicó la Resolución Rectoral N° 0853 de 2024, que establece lineamientos y cronogramas,  buscando comunicar a la comunidad universitaria respecto las fechas y plazos para la gestión de diferentes tramites institucionales en cumplimiento de los principios descritos.
Y se presentó el informe detallado sobre el estado de ejecución de las reservas de apropiación vigencia 2023 constituidas y aprobadas mediante Resolución Rectoral N° 005 de 10-01-2024, y se expusieron las acciones y los controles implementados para establecer mecanismos efectivos de control y seguimiento a la ejecución del gasto dentro de la vigencia fiscal.
En conclusión, la OCI evidenció las gestiones realizadas por la Universidad del Cauca para mejorar la ejecución del gasto en la vigencia 2024, así como para la ejecución y liquidación de las reservas de la vigencia 2023, por lo que se asigna un avance del 50%, el porcentaje restante será determinado con la valoración de la efectividad de la acción que se refleje con el cierre de la vigencia 2024, y el primer semestre de la vigencia 2025. </t>
  </si>
  <si>
    <t>Vicerrector de investigaciones
Vicerrector administrativo
Jefe Oficina Jurídica</t>
  </si>
  <si>
    <t>Amparo de Soporte Técnico para Plataformas Tecnológicas
La Universidad del Cauca omitió constituir las garantías de calidad y buen funcionamiento en los contratos de compraventa No. 5.5-31.3/007, 5.5-31.3/010, 5.5- 31.3/031 y 5.5-31.3/011 de 2023, que tuvieron por objeto la adquisición de renovaciones de licenciamiento y soporte técnico, por el tiempo de duración del contrato, quedando periodos contractuales descubiertos que oscilaron entre 365 a 1458 días, lo cual deja los recursos públicos invertidos por $1.439.350.815 en riesgo de pérdida por insuficiencia en las garantías prestadas.</t>
  </si>
  <si>
    <t>Lo anterior por deficiencias en los mecanismos de control interno de la Universidad, especialmente en la elaboración de pliegos condiciones de forma completa y con un análisis adecuado de la cobertura de los riesgos implícitos en la contratación específica celebrada, esta situación de insuficiencia de las garantías de calidad y buen funcionamiento respecto de la duración del soporte técnico de las plataformas, elementos y servicios tecnológicos adquiridos por la Universidad del Cauca en la vigencia 2023, deja los recursos públicos invertidos para adquirir estos servicios tecnológicos que ascienden a $1.439.350.815 expuestos a riesgos de pérdida por insuficiencia en las garantías prestadas.</t>
  </si>
  <si>
    <t xml:space="preserve">Tramitar la inclusión del amparo todo riesgo daños materiales que cubre licenciamientos dentro del proceso de adquisición de pólizas de seguros de la Universidad </t>
  </si>
  <si>
    <t xml:space="preserve">Adquirir la póliza todo riesgos daños materiales </t>
  </si>
  <si>
    <t>Documento póliza todo riesgo daños materiales</t>
  </si>
  <si>
    <t>II semestre de 2024
Con oficio 5.-55.6/06 del 13/01/2024 recibido a través de la cuenta de correo electrónico de la OCI el 13/01/2025, la Vicerrectoría administrativa remite la póliza N° 1001225 del 27/05/2024 expedida por la Previsora S.A: Compañía de seguros. "Seguro daños materiales combinados, póliza daños materiales combinados".</t>
  </si>
  <si>
    <t>II semestre de 2024
Se observó la póliza N° 1001225 del 27/05/2024 expedida por la Previsora S.A: Compañía de seguros, adquirida por la Universidad del Cauca  "Seguro daños materiales combinados, póliza daños materiales combinados".
Se cierra la actividad.
La OCI recomienda seguir aplicando los controles definidos para la inclusión del amparo todo riesgo daños materiales para la Universidad del Cauca.</t>
  </si>
  <si>
    <t>Vicerrector administrativo
Jefe Oficina Jurídica</t>
  </si>
  <si>
    <t>Bonificación Productividad Académica 2023 (BA). El hallazgo evidencia deficiencias en la gestión realizada por el Comité Interno de Reconocimiento y Asignación de Puntos - CIARP de la Universidad del Cauca al no registrar el valor del pago por la bonificación en los actos administrativos emitidos y se configura un beneficio de auditoría por $140.652 por el reintegro realizado por el docente y correspondiente al mayor valor pagado, soportado mediante recibo de referencia No. 30800001 del 17/04/2024, comprobante de pago No. 1411385 y certificación del tesorero fechada el 18/04/2024</t>
  </si>
  <si>
    <t>Deficiencias en la gestión realizada por el Comité Interno de Reconocimiento y Asignación de Puntos de la Universidad del Cauca al generar pagos no justificados que afectan la ejecución de los recursos, generando un detrimento por $140.652, monto que fue reintegrado por el docente dado a la gestión administrativa que adelantó la Universidad posterior a la comunicación de la observación y lo cual soportó mediante recibo de referencia No. 30800001 del 17/04/2024, pagado según comprobante de pago No. 1411385, recaudo de $140.652 certificado por el tesorero el 18/04/2024</t>
  </si>
  <si>
    <t>Ajustar los actos administrativos que se expidan para el reconocimiento y asignación de puntos por bonificación de productividad académica de acuerdo a lo definido en el Decreto 1279 de 2002 art.19 y Acuerdo 078 de 2002 Art. 2 - Unicauca</t>
  </si>
  <si>
    <t xml:space="preserve">Estandarizar el contenido de los actos administrativos que se expidan para el reconocimiento y asignación de puntos por bonificación de productividad académica </t>
  </si>
  <si>
    <t xml:space="preserve">Documento de acto administrativo estandarizado </t>
  </si>
  <si>
    <t>II Semestre de 2024 
Con oficio 4-55.6/1851 del 5/1/2024, la vicerrectoría académica indicó que en la sesión del CIARP del 24 de abril de 2024 (Acta de reunión 4-3.31/013 del 24/04/2024,), se decidió que a partir de la fecha (24/04/2024), en las resoluciones de bonificación debe quedar explícito no solo el puntaje, sino también el valor en pesos y la vigencia (año) en la cual se realizará dicho pago, todo ello para dar cumplimiento al artículo 11 del Acuerdo 078 de 2002.
Las evidencias presentadas para esta actividad son: documento de acto administrativo estandarizado y 
  dos modelos de resolución antes del ajuste realizado:
Res CIARP 028 DEL 28-02-24 
Res CIARP 048 del 20-03-24</t>
  </si>
  <si>
    <t xml:space="preserve">II Semestre de 2024 
La OCI conoció el documento popuesta de ajustes a las resoluciones de bonificación (acto administrativo estandarizado), relacionados con la adición de el valor en pesos y la vigencia (año) en la cual se realizará el pago, en cumplimiento al artículo 11 del Acuerdo 078 de 2002.
La actividad se cierra
La OCI recomienda utilizar el formato PE-GS-2.2.1-FOR-22 Acta General para Actividades Universitarias v1 con fecha de actualización 11-03-2019
</t>
  </si>
  <si>
    <t>Vicerrectora Académica</t>
  </si>
  <si>
    <t>Aplicar documento estandarizado por el  Comité Interno de Asignación y Reconocimiento de Puntos -CIARP en la expedición de cada acto administrativo.</t>
  </si>
  <si>
    <t>Porcentaje de actos administrativos con aplicación documento estandarizado</t>
  </si>
  <si>
    <t xml:space="preserve">II Semestre de 2024 
Con oficio 4-55.6/1851 del 5/1/2024, la vicerrectoría académica indicó que desde el 24-04-24 todas las resoluciones de bonificaciones como ponencias, direcciones de tesis, publicaciones impresas universitarias, etc., se ajustaron de acuerdo a las recomendaciones dadas por el CIARP. A partir de esta  fecha y hasta el 30 de octubre, fecha en que se realizó lal última sesión del  CIARP de productividad de profesores de planta, se realizaron 18 resoluciones, las cuales fueron ajustadas al 100%. 
Adjuntan como evidencia algunas resoluciones expedidas y ajustadas, entre ellas:
Res CIARP 065 del 24-04-24 (primera resolución expedida con ajustes)
Res CIARP 066 del 24-04-24
Res CIARP 177 del 30-10-24 (última resolución expedida a la fecha)
</t>
  </si>
  <si>
    <t>Conformación del expediente contractual
Hallazgo que evidencia deficiencias en los mecanismos de seguimiento y monitoreo, registros inexactos y falencias en la labor de supervisión al no cumplir con la organización del archivo de los contratos, evidenciando falta de documentos como informes de supervisión, comprobantes de pago, facturas y actas de liquidación, generando así información no confiable para la toma de decisiones sobre la ejecución de los contratos.</t>
  </si>
  <si>
    <t>Deficiencias en los mecanismos de seguimiento y monitoreo, registros inexactos y falencias en la labor de supervisión al no cumplir con la organización del archivo del contrato, generando información no confiable para la toma de decisiones sobre la ejecución de los contratos</t>
  </si>
  <si>
    <t>Unificar los criterios a aplicar para la organización y custodia de los tipos documentales de los expendientes contractuales</t>
  </si>
  <si>
    <t>Actualizar las listas de chequeo para la organización y custodia de los expedientes contractuales</t>
  </si>
  <si>
    <t>Porcentaje de Listas de chequeo actualizada</t>
  </si>
  <si>
    <t xml:space="preserve">II semestre de 2024
Con oficio 5.-55.6/06 del 13/01/2024 recibido a través de la cuenta de correo electrónico de la OCI el 13/01/2025, la Vicerrectoría administrativa remite el formato de solicitud de creación, modificación o baja de documentos del 20/11/2024, con el que requiere la actualización de 11 listas de chequeo de contratación; como resultado del trabajo conjunto entre el equipo de la vicerrectorías administrativa y de investigaciones y la División gestión financiera. </t>
  </si>
  <si>
    <t>II semestre de 2024
La OCI constató la actualización y publicación en la plataforma lvmen, de 11 listas de chequeo así:
PA-GA-5-OD-1 Versión 4 del 18/11/2024 "Lista de Chequeo para Contrato de Prestación de Servicios Inferior o Igual a 100  SMLMV "
PA-GA-5-OD-5 Versión 5 del 18/11/2024 "Lista de Chequeo para Contrato de Suministro Inferior o Igual a 100 SMLMV"
PA-GA-5-OD-8 Versión 6 del 18/11/2024 "Lista de Chequeo Contrato Obra Inferior o Igual a 100 SMLMV"
PA-GA-5-OD-11 Versión 3 del 18/11/2024 "Lista de Chequeo para Contrato de Aprendizaje, Pasantia y Judicatura"
PA-GA-5-OD-12 Versión 3 del 18/11/2024 "Lista de Chequeo para Contrato de Transporte"
PA-GA-5-OD-13 Versión 3 del 18/11/2024 "Lista de Chequeo Contrato de Consultoría de 0 Hasta 100 SMLMV"
PA-GA-5-OD-14 Versión 3 del 18/11/2024 "Lista de Chequeo de Suministro y Compraventa Mayor A 100 SMMLV Licitación"
PA-GA-5-OD-15 Versión 4 del 18/11/2024 "Lista de Chequeo Contrato de Consultoria Mayor a 100 SMLMV Licitación"
PA-GA-5-OD-16 Versión 4 del 18/11/2024 "Lista de Chequeo para Contrato de Compraventa Inferior o Igual a 100 SMLMV"
PA-GA-5-OD-17 Versión 4 del 18/11/2024 "Lista de Chequeo Contrato de Obra Mayores a 100 SMLMV Licitación"
PA-GA-5-OD-17 Versión 3 del 18/11/2024 " Lista de Chequeo para Contrato de Arrendamiento"
La actividad se cierra</t>
  </si>
  <si>
    <t>Vicerrector Administrativo - Área de Contratación
Secretara General - Área de Gestión Documental
Vicerrector de Investigaciones</t>
  </si>
  <si>
    <t>Contrato suministro de combustible 5.5-31.6/029 - 2023 (BA)
Hallazgo que evidenció que la Universidad del Cauca pagó al contratista $2.292.943 por suministros de combustible, aceite y filtros con anterioridad a la suscripción del acta de inicio (28/04/2023), hecho observado que la Universidad subsanó mediante descuento de $2.292.943 en el acta de liquidación del contrato configurándose un beneficio de auditoría por la recuperación de los valores por los consumos realizados con anterioridad al inicio del contrato 029 de 2023 en cuantía de $2.292.943.</t>
  </si>
  <si>
    <t>Inobservancia de la normatividad que rige la contratación en la Universidad del Cauca al aprobar y realizar pagos antes del inicio del contrato (28/04/2024) por $2.292.943, así como deficiencias en el ejercicio de las funciones de seguimiento y supervisión que afectan la gestión administrativa y contractual del ente universitario.</t>
  </si>
  <si>
    <t>Establecer mecanismos conducentes a la interiorización de las funciones de los supervisores designados en los contratos suscritos con la Universidad</t>
  </si>
  <si>
    <t>Expedir circular normativa referente al cumplimiento de los lineamientos establecidos en el Estatuto de contratación de la Universidad del Cauca, especificamente a lo indicado en el articulos 51, 81 y al Capítulo II  De la Interventoria</t>
  </si>
  <si>
    <t>Circular normativa</t>
  </si>
  <si>
    <t>II semestre de 2024
Con oficio 5.-55.6/06 del 13/01/2024 recibido a través de la cuenta de correo electrónico de la OCI el 13/01/2025, la Vicerrectoría administrativa remite la circular Dispositiva N° 2-12.1/001 del 16/12/2024 expedida por la rectoría de la Unversidad del Cauca, dirigida a los supervisores e interventores, de asunto "Cumplimiento de lo reglado en materia de supervisión e interventoría"</t>
  </si>
  <si>
    <t>La OCI dio lectura a la  circular Dispositiva N° 2-12.1/001 del 16/12/2024, relacionada con "Cumplimiento de lo reglado en materia de supervisión e interventoría", en la que se imparten directrices dirigidas a los supervisores e interventores.
La actividad de cierra</t>
  </si>
  <si>
    <t xml:space="preserve">Vicerrector Administrativo
Jefe Oficina Jurídica
Vicerrector de Investigaciones </t>
  </si>
  <si>
    <t>Contrato compraventa No. 5.5-31.3/027-2020
La Universidad del Cauca, celebró el contrato de compraventa No 5.5-31.3/027-2020, con el fin de adquirir una serie de elementos, entre ellos 1.320 sillas universitarias, las cuales tenían unas especificaciones técnicas conforme el pliego de condiciones como en el contrato, entre ellas, un protector para colocar los pies en aluminio remachado en el tubo transversal posterior. La Universidad del Cauca recibió a satisfacción el día 25-10-2021 las sillas sin verificar que no tenían el protector para los pies, hecho que afectó la gestión administrativa y el cumplimiento del objeto contractual.</t>
  </si>
  <si>
    <t>Deficiencias en las funciones del supervisor al recibir a satisfacción las sillas universitarias sin cumplir con las especificaciones técnicas pactadas tanto en el pliego de condiciones como en el contrato de compraventa, que afecta la gestión administrativa y el cumplimiento del objeto contractual</t>
  </si>
  <si>
    <t>Adecuar los controles para el ejercicio de supervisión respecto de los ajustes a las especificaciones técnicas inicialmente establecidas</t>
  </si>
  <si>
    <t>Incluir en el formato establecido  de acta de recibo a satisfacción un ítem en el que se puedan detallar los bienes adquiridos con mejoras en las especificaciones técnicas a las inicialmente establecidas</t>
  </si>
  <si>
    <t>II semestre de 2024
Con oficio 5.-55.6/06 del 13/01/2024 recibido a través de la cuenta de correo electrónico de la OCI el 13/01/2025, la Vicerrectoría administrativa remite copia del formato de solicitud de creación, modificación o baja de documentos, para actualizar el formato PA-GA-5-FOR-22 "ACTA DE RECIBO A SATISFACCIÓN" versión 3 del 31/07/2024</t>
  </si>
  <si>
    <t>II semestre de 2024
El formato PA-GA-5-FOR-22 "ACTA DE RECIBO A SATISFACCIÓN" versión 3 del 31/07/2024, publicado el el programa Lvmen, incluye una nota en la que instruye se diligencie el ítem siguiente en caso de recibir elementos con mejores características especificadas en los contrato.
La actividad se cierra</t>
  </si>
  <si>
    <t xml:space="preserve">Vicerrector Administrativo
Director Centro de Gestión de la Calidad y Acreditación Institucional </t>
  </si>
  <si>
    <t>Estudios y diseños fase 3 tulpa universitaria sede Santander de Quilichao (F y D). El contrato de consultoría 030 de 2022, cuyo objeto corresponde a los estudios y diseños para la construcción de una tulpa universitaria de la sede norte de la Universidad del Cauca localizada en el municipio de Santander de Quilichao, presentó los productos entregables con deficiencias técnicas en el diseño arquitectónico y el diseño estructural, que impactaron el contrato de obra 03 de 2023 obligando la suspensión de la obra, situación detectada en la visita técnica realizada los días 20 a 22 de marzo de 2024, que originó un daño patrimonial por $12.634.188 correspondientes al valor de los diseños arquitectónico y estructural en el marco del contrato de consultoría 030 de 2022</t>
  </si>
  <si>
    <t>Deficiencias en la labor de supervisión del contrato de consultoría No. 030 de 2022, al haber omitido verificar la calidad de los diseños estructural y arquitectónico entregados por el contratista y no exigirles la constitución de una garantía que cubra la calidad de los productos, con lo que se generó un daño patrimonial por $12.634.188</t>
  </si>
  <si>
    <t>Fortalecer  la supervisión de  los procesos de consultoría por cuantías inferiores a 100  SMLMV</t>
  </si>
  <si>
    <t xml:space="preserve">Capacitar a los supervisores de contratos sobre las responsabilidades y obligaciones acorde a los lineamientos externos e internos  existentes. </t>
  </si>
  <si>
    <t>Registro de capacitaciones realizadas</t>
  </si>
  <si>
    <t>II semestre de 2024
Con oficio 5.-55.6/06 del 13/01/2024 recibido a través de la cuenta de correo electrónico de la OCI el 13/01/2025, la Vicerrectoría Administrativa informa sobre la organización de tres jornadas de capacitación tituladas "Habilidades en el ejercicio de la supervisión contractual - Curso Taller". Que se llevaron a cabo en los dias 23, 30 de octubre, y 06 de noviembre de 2024, con una duración de 8 horas cada una. La formación estuvo dirigida a todos los funcionarios y contratistas que realizan funciones de supervisión contractual en la Universidad del Cauca.
Además se anexan 3 listados de asistencia de los participantes en las jornadas de capacitación durante las fechas mencionadas</t>
  </si>
  <si>
    <t>II semestre de 2024
 Se evidenció el envío de las memorias a los participantes de las capacitaciones realizadas en las jornadas programadas.
La Actividad se cierra</t>
  </si>
  <si>
    <t xml:space="preserve">Vicerrector Administrativo - Área de Contratación
Vicerrector de Investigaciones
Profesional especailizada - División Talento Humano </t>
  </si>
  <si>
    <t>Contrato Interventoría No. 002 para la construcción tulpa universitaria en la sede de Santander de Quilichao (D)
Hallazgo que evidencia la inobservancia de las obligaciones contractuales e interventoría por la no revisión oportuna de los diseños, lo cual no permitió identificar las fallas de los diseños y que fueron la causa de las deficiencias de la obra objeto de construcción (tulpa universitaria), lo cual afectó el cumplimiento del objeto contractual</t>
  </si>
  <si>
    <t>Inobservancia de la interventoría frente a sus obligaciones contractuales y la supervisión, así como la inobservancia de las obligaciones contractuales de la interventoría, en materia de revisión de diseños antes del inicio del contrato, para detectar posibles faltas que pudieran afectar el cronograma y presupuesto del contrato de obra.  La no revisión oportuna de los diseños, como lo exige el contrato de interventoría en sus obligaciones, hace que en el transcurso del proyecto se presenten fallas estructurales, que se hubieran podido subsanar y conceptualizar en la etapa previa al inicio</t>
  </si>
  <si>
    <t>Gestionar la presentación del informe  sobre la verificación y justificación estructural de la obra "Tulpa Universitaria".</t>
  </si>
  <si>
    <t>Porcentaje de registros de la gestión realizada</t>
  </si>
  <si>
    <t>II semestre de 2024
Con oficio 5.-55.6/06 del 13/01/2024 recibido a través de la cuenta de correo electrónico de la OCI el 13/01/2025, remite el oficio 5-55.6/703 de 2024 con el que la Vicerrectoría Administrativa, reitera la solicitud de presentación del informe técnico de visita de obra y soporte estructural referente al número de elementos tipo guadua del pórtico radial intermedio entre pedestales propuestos en los diseños estructuales y con el oficio 5-55.6/1329 de 2024 realiza un tercer requerimiento sobre el mismo tema.</t>
  </si>
  <si>
    <t>II semestre de 2024
La OCI indagó sobre la presentación del informe solicitado al contratista consultor de la para realizar los estudios y diseños fase III de la tulpa Universitaria de la sede Santander de quilichao de la Universidad del Cauca, de lo que a la decha del seguimiento la Universidad no obtuvo respuesta, pese a los tres requerimientos realizados desde la vcerrectoría administrativa
Con base en lo anterior, y revisado el hallazgo determinado por la C.G.R relacionado con la  "...inobservancia de las obligaciones contractuales e interventoría por la no revisión oportuna de los diseños, lo cual no permitió identificar las fallas de los diseños y que fueron la causa de las deficiencias de la obra objeto de construcción (tulpa universitaria), lo cual afectó el cumplimiento del objeto contractual"la OCI recomienda replantear la actividad ya que no ha sido efectiva la de "Gestionar la presentación del informe sobre la verificación y jstificación estructural de la obra Tulpa Universitaria"</t>
  </si>
  <si>
    <t>Vicerrector administrativo</t>
  </si>
  <si>
    <t>Plan de Mejoramiento</t>
  </si>
  <si>
    <t>Observación</t>
  </si>
  <si>
    <t>Posgrados</t>
  </si>
  <si>
    <t>Unidad de Salud</t>
  </si>
  <si>
    <t>Gestión Administrativa y Financiera</t>
  </si>
  <si>
    <t>División de Gestión del Talento Humano</t>
  </si>
  <si>
    <t>SGSST</t>
  </si>
  <si>
    <t>División de Gestión Financiera</t>
  </si>
  <si>
    <t>Control Interno Contable</t>
  </si>
  <si>
    <t>Matrícula Financiera</t>
  </si>
  <si>
    <t xml:space="preserve">Bienestar Universitario </t>
  </si>
  <si>
    <t xml:space="preserve">Reliquidacion Matricula </t>
  </si>
  <si>
    <t>Gestión Ambiental</t>
  </si>
  <si>
    <t>Adriana Tello</t>
  </si>
  <si>
    <t>División de Admisiones Registro y Contro Académico</t>
  </si>
  <si>
    <t>Registro de Notas</t>
  </si>
  <si>
    <t xml:space="preserve">Transporte </t>
  </si>
  <si>
    <t>Archivo Histórico</t>
  </si>
  <si>
    <t>Centro de Regionalización</t>
  </si>
  <si>
    <t>Regionalización</t>
  </si>
  <si>
    <t>Profesor invitado</t>
  </si>
  <si>
    <t>PETI</t>
  </si>
  <si>
    <t>Doris M. - Dora Ch.</t>
  </si>
  <si>
    <t>-</t>
  </si>
  <si>
    <t>Aceptable</t>
  </si>
  <si>
    <t>N°</t>
  </si>
  <si>
    <t>PM</t>
  </si>
  <si>
    <t>Responsable</t>
  </si>
  <si>
    <t>% Avance por Actividad -</t>
  </si>
  <si>
    <t>Incumplidos</t>
  </si>
  <si>
    <t>Total Actividades</t>
  </si>
  <si>
    <t>Comparativo</t>
  </si>
  <si>
    <t>% de avance &lt;100%</t>
  </si>
  <si>
    <t>% de avance Satisfactorio 100%</t>
  </si>
  <si>
    <t>No. Actividades avance &lt;90%</t>
  </si>
  <si>
    <t>No. Actividades con avance &lt;100% e incumplidas</t>
  </si>
  <si>
    <t>No. Actividades con avance &gt;=90% Y cumplidas</t>
  </si>
  <si>
    <t>Oficio solicitud información 2024-2</t>
  </si>
  <si>
    <t>Oficio de actividades pendientes PM activos</t>
  </si>
  <si>
    <t>Oficio de respuesta por responsables planes</t>
  </si>
  <si>
    <t>Fecha límite de recepción</t>
  </si>
  <si>
    <t>100-80</t>
  </si>
  <si>
    <t>79-50</t>
  </si>
  <si>
    <t>49-30</t>
  </si>
  <si>
    <t>29-0</t>
  </si>
  <si>
    <t>Dic-21</t>
  </si>
  <si>
    <t>Dic-22</t>
  </si>
  <si>
    <t>Dic-23</t>
  </si>
  <si>
    <t>2.6-27.13/026 del 22/01/2025</t>
  </si>
  <si>
    <t>Solicita plazo mediante correo electrónico del 29/01/2025
Entrega con correo electrónico del 30/01/2025</t>
  </si>
  <si>
    <t>Talento Humano Unisalud</t>
  </si>
  <si>
    <t>2.6-27.13/402 del 13/11/2024</t>
  </si>
  <si>
    <t>2.6-27.13/018  del 22/01/2025</t>
  </si>
  <si>
    <t>2.6-27.13/395 del 08/11/2024</t>
  </si>
  <si>
    <t>5.1-55.6/080 del 31/01/2025
Acta 2.6-3.49/03 del 06/02/2025</t>
  </si>
  <si>
    <t>2.6-27.13/021 del 22012025</t>
  </si>
  <si>
    <t>5.1.4-27.34/012 del 29/01/2025
Acta 2.6-3.49/02 del 06/02/2025</t>
  </si>
  <si>
    <t>Mabel</t>
  </si>
  <si>
    <t>Vicerrectoría  Administrativa- División Financiera</t>
  </si>
  <si>
    <t>2.6-27.13/022 del 22/01/2025</t>
  </si>
  <si>
    <t>2.6-27.13/396 del 12/11/2024</t>
  </si>
  <si>
    <t>Calificación</t>
  </si>
  <si>
    <t>Rango</t>
  </si>
  <si>
    <t>N° Planes</t>
  </si>
  <si>
    <t>Cerrados</t>
  </si>
  <si>
    <t>Legalización Avances</t>
  </si>
  <si>
    <t>2.6-27.13/017  del 22/01/2025
2.6-27.13/020  del 22/01/2025</t>
  </si>
  <si>
    <t>5.2-55.6/0067 del 03/02/2025</t>
  </si>
  <si>
    <t>Sobresaliente</t>
  </si>
  <si>
    <t>[80-100%]</t>
  </si>
  <si>
    <t>Bienestar Universitario</t>
  </si>
  <si>
    <t>Sin solicitud, el proceso remitió la evidencia anticipadamente</t>
  </si>
  <si>
    <t>2.6-27.13/398 del 12/11/224</t>
  </si>
  <si>
    <t>7.2-55.6/646 del 12/12/2024</t>
  </si>
  <si>
    <t>[50-79%]</t>
  </si>
  <si>
    <t xml:space="preserve">Reliquidación Matricula </t>
  </si>
  <si>
    <t xml:space="preserve">Inaceptable </t>
  </si>
  <si>
    <t>[30-49%]</t>
  </si>
  <si>
    <t>Efectividad - Adriana</t>
  </si>
  <si>
    <t>2.6-27.13/016 del 22/01/2025</t>
  </si>
  <si>
    <t>2.2-27.13/001 del 29/01/2025</t>
  </si>
  <si>
    <t xml:space="preserve">CrÍtico </t>
  </si>
  <si>
    <t>[0-29%]</t>
  </si>
  <si>
    <t>2.6-27.13/028 del 22/01/2025</t>
  </si>
  <si>
    <t>TOTAL</t>
  </si>
  <si>
    <t>Área Seguridad</t>
  </si>
  <si>
    <t>Efectividad - Dora</t>
  </si>
  <si>
    <t>2.6-27.13/032 del 23/01/2025</t>
  </si>
  <si>
    <t>Efectividad - Olga</t>
  </si>
  <si>
    <t xml:space="preserve">Para el semestre no se valorará efectividad </t>
  </si>
  <si>
    <t>VRI</t>
  </si>
  <si>
    <t xml:space="preserve">Vicerrectoría de Investigaciones </t>
  </si>
  <si>
    <t>2.6-27.13/019 del 22/01/2025</t>
  </si>
  <si>
    <t>2.6-27.13/397 del 12/11/2024</t>
  </si>
  <si>
    <t>Solicitan ampliación del Plan con oficio 6.1-55.6/036 28/01/2025</t>
  </si>
  <si>
    <t>Doris</t>
  </si>
  <si>
    <t>2.6-27.13/023 del 22/01/2025</t>
  </si>
  <si>
    <t>4.1-55.6/29 del 29/01/2025
Correo electrónico del 03/02/2025</t>
  </si>
  <si>
    <t xml:space="preserve">Planes académica </t>
  </si>
  <si>
    <t>Dora</t>
  </si>
  <si>
    <t>2.6-27.13/024 del 22/01/2025</t>
  </si>
  <si>
    <t>4-55.6/107 del 31/01/2025</t>
  </si>
  <si>
    <t>Adriana</t>
  </si>
  <si>
    <t>2.6-27.13/027 del 22/01/2025</t>
  </si>
  <si>
    <t>4-55.6/108 del 31/01/2025</t>
  </si>
  <si>
    <t xml:space="preserve">Doris - Dora </t>
  </si>
  <si>
    <t>2.6-27.13/025 del 22/01/2025</t>
  </si>
  <si>
    <t>5.3-55.6-060 del 30/01/2025</t>
  </si>
  <si>
    <t>Actos Administrartivos</t>
  </si>
  <si>
    <t>Jurídico</t>
  </si>
  <si>
    <t>BALANCE GENERAL</t>
  </si>
  <si>
    <t>Avance Diciembre 2024</t>
  </si>
  <si>
    <t>Nivel Crítico</t>
  </si>
  <si>
    <t>Nivel aceptable</t>
  </si>
  <si>
    <t>Nivel sobresaliente</t>
  </si>
  <si>
    <t>Talento Humano UNISALUD</t>
  </si>
  <si>
    <t xml:space="preserve">CIC </t>
  </si>
  <si>
    <t>Total de actividades</t>
  </si>
  <si>
    <t>Actividades Activas</t>
  </si>
  <si>
    <t>VIGENCIA</t>
  </si>
  <si>
    <t xml:space="preserve">Numero de Hallazgos </t>
  </si>
  <si>
    <t>Sobresaliente
80% - 100%</t>
  </si>
  <si>
    <t>Aceptable 
50% - 79%</t>
  </si>
  <si>
    <t>Inaceptable 30% - 49%</t>
  </si>
  <si>
    <t>Critico 
&lt;30</t>
  </si>
  <si>
    <t>Total Activas</t>
  </si>
  <si>
    <t>% Activas Cumplidas</t>
  </si>
  <si>
    <t>Promedio DIC 2022-2</t>
  </si>
  <si>
    <t>Promedio JUN 2023-1</t>
  </si>
  <si>
    <t>Promedio DIC 2023-2</t>
  </si>
  <si>
    <t>Promedio JUN 2024-1</t>
  </si>
  <si>
    <t>Promedio DIC 2024-2</t>
  </si>
  <si>
    <t>Auditoría 2019</t>
  </si>
  <si>
    <t>Auditoría 2020</t>
  </si>
  <si>
    <t>Auditoría 2021</t>
  </si>
  <si>
    <t>Auditoría 2023</t>
  </si>
  <si>
    <t>Total</t>
  </si>
  <si>
    <t>Dependencia</t>
  </si>
  <si>
    <t>Oficio recepción información - hasta el 06/12/2024</t>
  </si>
  <si>
    <t>Envío a OPDI</t>
  </si>
  <si>
    <t>Certificado envío</t>
  </si>
  <si>
    <t>2.6-27.13/435 del 27/11/2024</t>
  </si>
  <si>
    <t>5.2-55.6/1254 del 20/12/2024</t>
  </si>
  <si>
    <t>2.6-43.14/014 del 21/01/2025</t>
  </si>
  <si>
    <t>CONSECUTIVO:7631156162024-12-31 del 21/01/2025</t>
  </si>
  <si>
    <t>DAYS</t>
  </si>
  <si>
    <t>2.6-27.13/430 del 27/11/2024</t>
  </si>
  <si>
    <t>5.4-55.6/603 del 06/12/2024
5.4.4-55.6/725 del 06/12/2024
5.4.4-55.6/738 del 18/12/2024
5.4.4-55.6/747 del 27/12/2024</t>
  </si>
  <si>
    <t xml:space="preserve">Vicerrectoría Administrativa </t>
  </si>
  <si>
    <t>2.6-27.13/432 del 27/11/2024</t>
  </si>
  <si>
    <t>5-55.6/06 del 13/01/2025</t>
  </si>
  <si>
    <t>Vicerrectoría cultura</t>
  </si>
  <si>
    <t>2.6-27.13/438 del 27/11/2024</t>
  </si>
  <si>
    <t>7.2-55.6/608 del 29/11/2024
7.2-55.6/646 del 12/12/2024
Correo del 20/01/2025</t>
  </si>
  <si>
    <t>2.6-27.13/439 del 27/11/2024</t>
  </si>
  <si>
    <t>6.1-55.6/1956 del 06/12/2024</t>
  </si>
  <si>
    <t>Promedio Plan</t>
  </si>
  <si>
    <t>Jurídica</t>
  </si>
  <si>
    <t>2.6-27.13/436 del 27/11/2024</t>
  </si>
  <si>
    <t>Correo electrónico del 17/01/2025</t>
  </si>
  <si>
    <t>2.6-27.13/437 del 26/11/2024</t>
  </si>
  <si>
    <t>4-55.6/1851 del 05/12/2024</t>
  </si>
  <si>
    <t>Unisalud</t>
  </si>
  <si>
    <t>2.6-27.13/441 del 27/11/2024</t>
  </si>
  <si>
    <t>10.1-55.6/989 del 04/12/2024</t>
  </si>
  <si>
    <t xml:space="preserve">PLANES DE MEJORAMIENTO EN EJECUCIÓN </t>
  </si>
  <si>
    <t xml:space="preserve">Plan de Mejoramiento </t>
  </si>
  <si>
    <t>Fecha de Seguimiento</t>
  </si>
  <si>
    <t xml:space="preserve">Responsable seguimiento </t>
  </si>
  <si>
    <t xml:space="preserve">Convenciones </t>
  </si>
  <si>
    <t>Evaluación al Procedimiento de Cesión de Bienes a Titulo Gratuito</t>
  </si>
  <si>
    <t>Kevin - Deysi Potosí</t>
  </si>
  <si>
    <t>Incluir avances reportados en el PM CGR</t>
  </si>
  <si>
    <t>Sin seguimiento</t>
  </si>
  <si>
    <t>La Aplicación del Acuerdo No.  085 de 2008</t>
  </si>
  <si>
    <t xml:space="preserve">Deysi Potosí - Olga Lucía </t>
  </si>
  <si>
    <t>Pendiente otro informe de seguimiento</t>
  </si>
  <si>
    <t xml:space="preserve">Realizado </t>
  </si>
  <si>
    <t>Movilidad y Seguridad</t>
  </si>
  <si>
    <t xml:space="preserve">Diego Huaman - Kevin </t>
  </si>
  <si>
    <t xml:space="preserve">Revisar avance reportado por Maribel y programar seguimiento. </t>
  </si>
  <si>
    <t>Pendiente consolidar y articular información</t>
  </si>
  <si>
    <t>Procesos Disciplinarios</t>
  </si>
  <si>
    <t>Miguel Ángel</t>
  </si>
  <si>
    <t>Monitorías</t>
  </si>
  <si>
    <t>Plan de Compras</t>
  </si>
  <si>
    <t xml:space="preserve">Kevin - Olga Lucía - Deysi </t>
  </si>
  <si>
    <t>Año Sabático</t>
  </si>
  <si>
    <t>03/09 - 07/09/2018</t>
  </si>
  <si>
    <t>Miguel Ángel - Kevin Robinson</t>
  </si>
  <si>
    <t>Pendiente oficio seguimiento</t>
  </si>
  <si>
    <t>CGR 2014-2015</t>
  </si>
  <si>
    <t>Kevin - Olga Lucía</t>
  </si>
  <si>
    <t>Asistencial Unidad de Salud</t>
  </si>
  <si>
    <t xml:space="preserve">Comisión de estudios </t>
  </si>
  <si>
    <t xml:space="preserve">Miguel Ángel y María Luisa </t>
  </si>
  <si>
    <t>PQRSF</t>
  </si>
  <si>
    <t xml:space="preserve">Posgrados </t>
  </si>
  <si>
    <t>12 y 13 09/2018</t>
  </si>
  <si>
    <t xml:space="preserve">Miguel Ángel - María Luisa </t>
  </si>
  <si>
    <t>Ekogui</t>
  </si>
  <si>
    <t xml:space="preserve">Miguel Ángel </t>
  </si>
  <si>
    <t xml:space="preserve">Alexander Certuche </t>
  </si>
  <si>
    <t xml:space="preserve">Pendiente reporte de Alexander basado en el informe del ICI Contable. </t>
  </si>
  <si>
    <t xml:space="preserve">PLANES DE MEJORAMIENTO EN FORMULACIÓN </t>
  </si>
  <si>
    <t xml:space="preserve">Pendientes suscripción </t>
  </si>
  <si>
    <t xml:space="preserve">Responsable OCI </t>
  </si>
  <si>
    <t xml:space="preserve">Vicerrectoría Cultura y Bienestar </t>
  </si>
  <si>
    <t xml:space="preserve">Kevin Robinson y Deysi Potosí </t>
  </si>
  <si>
    <t xml:space="preserve">Deysi Potosí y Diego Huaman  </t>
  </si>
  <si>
    <t>Comisiones Académicas</t>
  </si>
  <si>
    <t xml:space="preserve">Vicerrectoría Académica </t>
  </si>
  <si>
    <t>Miguel Ángel - María Luisa</t>
  </si>
  <si>
    <t>Evaluación Docente</t>
  </si>
  <si>
    <t>Selección Docentes</t>
  </si>
  <si>
    <t xml:space="preserve">Contratación </t>
  </si>
  <si>
    <t>Transporte</t>
  </si>
  <si>
    <t>División Administrativa y de Servicios</t>
  </si>
  <si>
    <t xml:space="preserve">Alexander y Olga Lucía </t>
  </si>
  <si>
    <t xml:space="preserve">Fecha </t>
  </si>
  <si>
    <t>Hora</t>
  </si>
  <si>
    <t>Kevin – Diego</t>
  </si>
  <si>
    <t>12/11/2019</t>
  </si>
  <si>
    <t xml:space="preserve">Observación </t>
  </si>
  <si>
    <t>Comisión estudios
Evaluación docente
Selección docente
Posgrados</t>
  </si>
  <si>
    <t>Miguel - Diego</t>
  </si>
  <si>
    <t>Monitorias</t>
  </si>
  <si>
    <t xml:space="preserve">Diego </t>
  </si>
  <si>
    <t xml:space="preserve">Oficio 2.6-52.18/113 del 06/03/2019. </t>
  </si>
  <si>
    <t>eKogui - comisión estudio</t>
  </si>
  <si>
    <t>Miguel</t>
  </si>
  <si>
    <t>Unidad de Salud y TH</t>
  </si>
  <si>
    <t>Deysi - Miguel</t>
  </si>
  <si>
    <r>
      <t xml:space="preserve">Se hará seguimiento sin la formulación, sobre cada hallazgo. Vencido plazo de formulación 31/10/2019.  </t>
    </r>
    <r>
      <rPr>
        <b/>
        <sz val="10"/>
        <rFont val="Arial"/>
        <family val="2"/>
      </rPr>
      <t xml:space="preserve">Miguel enviar nota. </t>
    </r>
  </si>
  <si>
    <t>Centro de Posgrados.</t>
  </si>
  <si>
    <t xml:space="preserve">El 12/11/2019 remitirán propuesta a OCI. </t>
  </si>
  <si>
    <t xml:space="preserve">Control interno contable </t>
  </si>
  <si>
    <t xml:space="preserve">Camilo - Deysi </t>
  </si>
  <si>
    <t>Oficina Jurídica</t>
  </si>
  <si>
    <t xml:space="preserve">Miguel - </t>
  </si>
  <si>
    <t xml:space="preserve">2.6-52.18/439 del 22/10/2019 último requerimiento sin respuesta de formulación PM. </t>
  </si>
  <si>
    <t>Presupuesto</t>
  </si>
  <si>
    <t xml:space="preserve">Deysi - Camilo </t>
  </si>
  <si>
    <t>5.</t>
  </si>
  <si>
    <t>Estimulos económicos</t>
  </si>
  <si>
    <t xml:space="preserve">Viceacadémica </t>
  </si>
  <si>
    <t xml:space="preserve">El 12/11/2019 la OCI asesorará en la metodología de formulación. </t>
  </si>
  <si>
    <t>Contratación</t>
  </si>
  <si>
    <t xml:space="preserve"> Kevin - Diego</t>
  </si>
  <si>
    <t xml:space="preserve">Se otorgó plazo hasta el 01/11/2019. </t>
  </si>
  <si>
    <t xml:space="preserve">Disciplinarios. </t>
  </si>
  <si>
    <t>Kevin - Diego</t>
  </si>
  <si>
    <t>Estampillas</t>
  </si>
  <si>
    <t xml:space="preserve">Camilo </t>
  </si>
  <si>
    <t xml:space="preserve">Se envío para formulación. </t>
  </si>
  <si>
    <t xml:space="preserve">PDI. </t>
  </si>
  <si>
    <t>Olga - Deysi - Diego</t>
  </si>
  <si>
    <t>PAA</t>
  </si>
  <si>
    <t xml:space="preserve">Vicerrectoría Administrativa. </t>
  </si>
  <si>
    <t>Acreditación programas académicos</t>
  </si>
  <si>
    <t xml:space="preserve">Diego - Kevin </t>
  </si>
  <si>
    <t>Cafeterías</t>
  </si>
  <si>
    <t xml:space="preserve">Salud Integral </t>
  </si>
  <si>
    <t xml:space="preserve">Kevin </t>
  </si>
  <si>
    <t xml:space="preserve">Último requerimiento oficio 2.6-52.18/446 del 29/10/2019. </t>
  </si>
  <si>
    <t>Kevin</t>
  </si>
  <si>
    <t>Kevin - Olga</t>
  </si>
  <si>
    <r>
      <rPr>
        <b/>
        <sz val="11"/>
        <rFont val="Arial"/>
        <family val="2"/>
      </rPr>
      <t xml:space="preserve">Efectividad del 73%
Gestión del 100%: </t>
    </r>
    <r>
      <rPr>
        <sz val="11"/>
        <rFont val="Arial"/>
        <family val="2"/>
      </rPr>
      <t xml:space="preserve">Se verifico el diseño, la formalización, la implementación, las socializaciones y la verificación semestral de la política de operación mediante la evidencia reportada en el drive compartido por parte del Área de Seguridad, Control y Movilidad y mediante evidencias físicas reportadas in situ el 8 de agosto de 2023, como el formato PA-GA-5.4.4 FOR4 en su versión 3 “solicitud de préstamo de vehículos” o evidencias de sesiones de trabajo en el área para socializar la política de operación.
Se recomienda hacer énfasis en las estadísticas específicas, no están compiladas, para que sean un posible insumo en la toma de decisiones.
</t>
    </r>
    <r>
      <rPr>
        <b/>
        <sz val="11"/>
        <rFont val="Arial"/>
        <family val="2"/>
      </rPr>
      <t xml:space="preserve">
</t>
    </r>
    <r>
      <rPr>
        <sz val="11"/>
        <rFont val="Arial"/>
        <family val="2"/>
      </rPr>
      <t xml:space="preserve">Según visita in-situ el 29/01/2025, se constato que aun se continua aplicando  la Politica  Operacional  PA-GA-5.4.4-PT-1 V1 12/12/20219, persisite su desactualización. Se verifico la actualización del formato Solicitud Préstamo de Vehículo PA-GA-5.4.4-FOR-1 V5 18-11-2024. 
</t>
    </r>
    <r>
      <rPr>
        <b/>
        <sz val="11"/>
        <rFont val="Arial"/>
        <family val="2"/>
      </rPr>
      <t xml:space="preserve">
Impacto del 70%:</t>
    </r>
    <r>
      <rPr>
        <sz val="11"/>
        <rFont val="Arial"/>
        <family val="2"/>
      </rPr>
      <t xml:space="preserve"> Durante la visita realizada el 2/08/2024 al área de transporte, se evidenció que es necesario realizar modificación a la Política de Operación de Transporte, PA-GA-5.4.4-PT-1, Versión 1 del 12/12/2019, esto, teniendo en cuenta que en el numeral 1. "Definición del servicio de transporte" se listan los vehiculos con los que cuenta la Universidad, información que a la fecha esta desactualizada.  La OCI sugiere se realicen modificaciones a modo general, para no incurrir en ajustes cuando se den cambios de manera especifica. 
Para el segundo semestre 2024, se valoró nuevamente la efectividad, evidenciando la permanencia de la mejora con ajustes a los linemeamientos internos, el desarrollo un software, como insumo de Tesis de grado  aplicativo es Sistema Integrado SIAT, mediante oficio 5.4-55-6/018 del 24 de enero 2025 solicitud de implementación con el objeto de atender solicitudes de servicio de movilidad institucional de forma más eficiente, eficaz y moderna.
La OCI recomienda que la Politica Operacional de Transporte, sea ajustada y actualizada mediante los nuevos lineamientos de movilidad.</t>
    </r>
  </si>
  <si>
    <r>
      <rPr>
        <b/>
        <sz val="11"/>
        <rFont val="Arial"/>
        <family val="2"/>
      </rPr>
      <t xml:space="preserve">Efectividad del 83%
</t>
    </r>
    <r>
      <rPr>
        <sz val="11"/>
        <rFont val="Arial"/>
        <family val="2"/>
      </rPr>
      <t xml:space="preserve">
</t>
    </r>
    <r>
      <rPr>
        <b/>
        <sz val="11"/>
        <rFont val="Arial"/>
        <family val="2"/>
      </rPr>
      <t>Gestión del 100% - Impacto 100%:</t>
    </r>
    <r>
      <rPr>
        <sz val="11"/>
        <rFont val="Arial"/>
        <family val="2"/>
      </rPr>
      <t xml:space="preserve"> Se verifico el diseño, la formalización, la implementación, las socializaciones y la verificación semestral de la política de operación mediante la evidencia reportada en el drive compartido por parte del Área de Seguridad, Control y Movilidad y mediante evidencias físicas reportadas in situ el 8 de agosto de 2023, como el formato PA-GA-5.4.4 FOR4 en su versión 3 “solicitud de préstamo de vehículos” o evidencias de sesiones de trabajo en el área para socializar la política de operación. 
En la visita in-situ el 30/01/2025, y verificada en la página Institucional se constato la actualización de los formatos como son: Solicitud Préstamo de Vehículo PA-GA-5.4.4-FOR-1 V5 18/11/2024. Control horas extras: PA-GA-5.4.4 FOR-2, V3 del 16/10/2024
Cumplido de comisión: PA-GA-5.4.4 FOR-3, V3 del 16/10/2024.
Se continua con la desactualizados los siguientes formatos: 
 Orden de viaje PA-GA-5.4.4-FOR 4 V3 5/03/2019. 
 Reporte de novedades durante el servicio: PA-GA-5.4.4 FOR-7, Versión 0 del 23/05/2018 
</t>
    </r>
  </si>
  <si>
    <r>
      <rPr>
        <b/>
        <sz val="11"/>
        <rFont val="Arial"/>
        <family val="2"/>
      </rPr>
      <t xml:space="preserve">Efectividad del 63%
</t>
    </r>
    <r>
      <rPr>
        <sz val="11"/>
        <rFont val="Arial"/>
        <family val="2"/>
      </rPr>
      <t xml:space="preserve">
</t>
    </r>
    <r>
      <rPr>
        <b/>
        <sz val="11"/>
        <rFont val="Arial"/>
        <family val="2"/>
      </rPr>
      <t>Gestión del 80%:</t>
    </r>
    <r>
      <rPr>
        <sz val="11"/>
        <rFont val="Arial"/>
        <family val="2"/>
      </rPr>
      <t xml:space="preserve"> Se verifico el diseño, la formalización, la implementación, las socializaciones y la verificación semestral de la política de operación mediante la evidencia reportada en el drive compartido por parte del Área de Seguridad, Control y Movilidad y mediante evidencias físicas reportadas in situ el 8 de agosto de 2023, como el formato PA-GA-5.4.4 FOR4 en su versión 3 “solicitud de préstamo de vehículos” o evidencias de sesiones de trabajo en el área para socializar la política de operación.
Se recomienda hacer énfasis en las estadísticas específicas, no están compiladas, para que sean un posible insumo en la toma de decisiones.
La gestión del proyecto de grado para la implementación del software, aplicativo Sistema Integrado Área de Transporte - SIAT. tiene como próposito  la mejora continua, la comundidad universitaria realizará sus solicitudes digitalmente.
</t>
    </r>
    <r>
      <rPr>
        <b/>
        <sz val="11"/>
        <rFont val="Arial"/>
        <family val="2"/>
      </rPr>
      <t>Impacto del 60%:</t>
    </r>
    <r>
      <rPr>
        <sz val="11"/>
        <rFont val="Arial"/>
        <family val="2"/>
      </rPr>
      <t xml:space="preserve"> Sin evidencia de socialización de la política a los interesados para la vigencia 2023 y 2024, la ultima socialización a los funcionarios se realizó el 17/05/2022, acta 5.4.4-1.56/1366. (visita in situ del 02/08/2024)
Sin evidencia de socialización de la política a los interesados para la vigencia 2024-2.</t>
    </r>
  </si>
  <si>
    <r>
      <rPr>
        <b/>
        <sz val="11"/>
        <rFont val="Arial"/>
        <family val="2"/>
      </rPr>
      <t xml:space="preserve">Efectividad del 77%
</t>
    </r>
    <r>
      <rPr>
        <sz val="11"/>
        <rFont val="Arial"/>
        <family val="2"/>
      </rPr>
      <t xml:space="preserve">
</t>
    </r>
    <r>
      <rPr>
        <b/>
        <sz val="11"/>
        <rFont val="Arial"/>
        <family val="2"/>
      </rPr>
      <t>Gestión del 80%:</t>
    </r>
    <r>
      <rPr>
        <sz val="11"/>
        <rFont val="Arial"/>
        <family val="2"/>
      </rPr>
      <t xml:space="preserve"> Se verifico el diseño, la formalización, la implementación, las socializaciones y la verificación semestral de la política de operación mediante la evidencia reportada en el drive compartido por parte del Área de Seguridad, Control y Movilidad y mediante evidencias físicas reportadas in situ el 8 de agosto de 2023, como el formato PA-GA-5.4.4 FOR4 en su versión 3 “solicitud de préstamo de vehículos” o evidencias de sesiones de trabajo en el área para socializar la política de operación.
Se recomienda hacer énfasis en las estadísticas específicas, no están compiladas, para que sean un posible insumo en la toma de decisiones.
En visita in-situ se verificá que se continua con el registro de información en el Drive, ademas que se diligencian los formatos establecidos por la Institución, constatando la aplicación de los formatos actualizados, de igual manera la actualización de la Politica operacional.
</t>
    </r>
    <r>
      <rPr>
        <b/>
        <sz val="11"/>
        <rFont val="Arial"/>
        <family val="2"/>
      </rPr>
      <t>Impacto del 100%:</t>
    </r>
    <r>
      <rPr>
        <sz val="11"/>
        <rFont val="Arial"/>
        <family val="2"/>
      </rPr>
      <t xml:space="preserve"> Mediante evidencias fisicas revisadas en la visita del 02/08/2024 se pudo verificar que se continua con la implementación de la politica, bajo el uso de los formatos: Solicitud Prestamo de Vehiculos: PA-GA-5.4.4 FOR-1, Versión 4 del 3/09/2020, Orden de Viaje: PA-GA-5.4.4 FOR-4, Versión 2 del 23/05/2018, Reporte de novedades durante el servicio: PA-GA-5.4.4 FOR-7, Versión 0 del 23/05/2018, Control horas extras: PA-GA-5.4.4 FOR-2, Versión 2 del 23/05/2018, Cumplido de comisión: PA-GA-5.4.4 FOR-3, Versión 2 del 23/05/2018.
Nuevamente, el equipo recomienda hacer énfasis en las estadísticas, para que sean un posible insumo en la toma de decisiones.
Se constato en la visita in-situ que se lleva a cabo los formatos y la politica, bajo el uso establecido por la Institución. </t>
    </r>
  </si>
  <si>
    <r>
      <rPr>
        <b/>
        <sz val="11"/>
        <rFont val="Arial"/>
        <family val="2"/>
      </rPr>
      <t xml:space="preserve">Efectividad del 63%
</t>
    </r>
    <r>
      <rPr>
        <sz val="11"/>
        <rFont val="Arial"/>
        <family val="2"/>
      </rPr>
      <t xml:space="preserve">
</t>
    </r>
    <r>
      <rPr>
        <b/>
        <sz val="11"/>
        <rFont val="Arial"/>
        <family val="2"/>
      </rPr>
      <t>Gestión del 80%</t>
    </r>
    <r>
      <rPr>
        <sz val="11"/>
        <rFont val="Arial"/>
        <family val="2"/>
      </rPr>
      <t xml:space="preserve">: Se verifico el diseño, la formalización, la implementación, las socializaciones y la verificación semestral de la política de operación mediante la evidencia reportada en el drive compartido por parte del Área de Seguridad, Control y Movilidad y mediante evidencias físicas reportadas in situ el 8 de agosto de 2023, como el formato PA-GA-5.4.4 FOR4 en su versión 3 “solicitud de préstamo de vehículos” o evidencias de sesiones de trabajo en el área para socializar la política de operación.
Se recomienda hacer énfasis en las estadísticas específicas, no están compiladas, para que sean un posible insumo en la toma de decisiones.
Se verifico en la visita in situ el 29/01/2025, que se continua la política de operación mediante la evidencia reportada en el drive por parte del Área de Seguridad, Control y Movilidad y mediante evidencias físicas.
</t>
    </r>
    <r>
      <rPr>
        <b/>
        <sz val="11"/>
        <rFont val="Arial"/>
        <family val="2"/>
      </rPr>
      <t>Impacto del 60%:</t>
    </r>
    <r>
      <rPr>
        <sz val="11"/>
        <rFont val="Arial"/>
        <family val="2"/>
      </rPr>
      <t xml:space="preserve"> Seguimiento del 02/08/2024: Sin evidencias del informe semestral que permita verificar la evaluación de la política. (visita in situ del 02/08/2024)
Seguimiento del 29/01/2025: Sin evidencias del informe semestral que permita verificar la evaluación de la política. </t>
    </r>
  </si>
  <si>
    <r>
      <rPr>
        <b/>
        <sz val="11"/>
        <rFont val="Arial"/>
        <family val="2"/>
      </rPr>
      <t xml:space="preserve">Efectividad del 80%
</t>
    </r>
    <r>
      <rPr>
        <sz val="11"/>
        <rFont val="Arial"/>
        <family val="2"/>
      </rPr>
      <t xml:space="preserve">
</t>
    </r>
    <r>
      <rPr>
        <b/>
        <sz val="11"/>
        <rFont val="Arial"/>
        <family val="2"/>
      </rPr>
      <t>Gestión del 100%:</t>
    </r>
    <r>
      <rPr>
        <sz val="11"/>
        <rFont val="Arial"/>
        <family val="2"/>
      </rPr>
      <t xml:space="preserve"> se realizó una sesión de trabajo en el Área de Seguridad, Control y Movilidad para el diagnóstico y actualizacion del servicio de transporte con acta 5.4.4-1.56/009 el 2-11-2022. 
En visita in-situ del 29/01/2025, se informo que el Vicerector Administrativo, en el mes de agosto 2024, citó al equipo de Seguridad y Movilidad, se da la directriz verbal para que el área de movilidad, ejerza autonomía en su dependencia para optimizar los procesos y procedimientos que se requiera en cumplimiento de la Politica de seguridad.
</t>
    </r>
    <r>
      <rPr>
        <b/>
        <sz val="11"/>
        <rFont val="Arial"/>
        <family val="2"/>
      </rPr>
      <t>Impacto del 90%</t>
    </r>
    <r>
      <rPr>
        <sz val="11"/>
        <rFont val="Arial"/>
        <family val="2"/>
      </rPr>
      <t xml:space="preserve">: Mediante evidencias fisicas reportadas in situ el 02/08/2024 se verifica la actualización del procedimiento PA-GA-5.4.4-PR-1 “Proceso de Apoyo Gestión de la Seguridad y Movilidad
Servicio de Transporte”, versión 5 del 27/12/2023.
Pendiente de aprobación de la jefe de la división, solicitud realizada mediante comunicación electronica del 27/12/2023 para su publicación. 
Mediante evidencias fisicas reportadas in situ el 29/01/2025 se da la publicación del  formato de solicitud de vehiculos. </t>
    </r>
  </si>
  <si>
    <r>
      <rPr>
        <b/>
        <sz val="11"/>
        <rFont val="Arial"/>
        <family val="2"/>
      </rPr>
      <t xml:space="preserve">Efectividad del 77%
</t>
    </r>
    <r>
      <rPr>
        <sz val="11"/>
        <rFont val="Arial"/>
        <family val="2"/>
      </rPr>
      <t xml:space="preserve">
</t>
    </r>
    <r>
      <rPr>
        <b/>
        <sz val="11"/>
        <rFont val="Arial"/>
        <family val="2"/>
      </rPr>
      <t>Gestión del 90%:</t>
    </r>
    <r>
      <rPr>
        <sz val="11"/>
        <rFont val="Arial"/>
        <family val="2"/>
      </rPr>
      <t xml:space="preserve"> Se verifico en la plataforma Lvmen y el PA-GA-5.4.4-PR-1 “Proceso de Apoyo
Gestión de la Seguridad y Movilidad
Servicio de Transporte” versión 4 tiene una fecha de actualización del 05-10-2021, por lo que la solicitud de organizar el procedimiento al ciclo PHVA del 7-10-2022 no ha sido ejecutada 
Mediante evidencias físicas reportadas in situ el 30-01-2025, y verificada en la página Institucional se constato la actualización de los formatos como son: 
Solicitud Préstamo de Vehículo PA-GA-5.4.4-FOR-1 V5 18/11/2024
Control horas extras: PA-GA-5.4.4 FOR-2, V3 del 16/10/2024
Cumplido de comisión: PA-GA-5.4.4 FOR-3, V3 del 16/10/2024
Se continua con el formato Orden de viaje PA-GA-5.4.4-FOR 4 V3 5/03/2019  Reporte de novedades durante el servicio: PA-GA-5.4.4 FOR-7, Versión 0 del 23/05/2018 continua desactualizado.
</t>
    </r>
    <r>
      <rPr>
        <b/>
        <sz val="11"/>
        <rFont val="Arial"/>
        <family val="2"/>
      </rPr>
      <t>Impacto del 90%:</t>
    </r>
    <r>
      <rPr>
        <sz val="11"/>
        <rFont val="Arial"/>
        <family val="2"/>
      </rPr>
      <t xml:space="preserve"> Mediante evidencias fisicas reportadas in situ el 02/08/2024 se verifica la actualización del procedimiento PA-GA-5.4.4-PR-1 “Proceso de Apoyo Gestión de la Seguridad y Movilidad
Servicio de Transporte”, versión 5 del 27/12/2023.
Pendiente de aprobación de la jefe de la división, solicitud realizada mediante comunicación electronica del 27/12/2023 para su publicación. 
La OCI recomienda que se realice las actualizaciones pertinentes de los formatos que requiera los ajustes necesarios</t>
    </r>
  </si>
  <si>
    <r>
      <t xml:space="preserve">
</t>
    </r>
    <r>
      <rPr>
        <b/>
        <sz val="11"/>
        <rFont val="Arial"/>
        <family val="2"/>
      </rPr>
      <t xml:space="preserve">Efectividad del 80%
</t>
    </r>
    <r>
      <rPr>
        <sz val="11"/>
        <rFont val="Arial"/>
        <family val="2"/>
      </rPr>
      <t xml:space="preserve">
</t>
    </r>
    <r>
      <rPr>
        <b/>
        <sz val="11"/>
        <rFont val="Arial"/>
        <family val="2"/>
      </rPr>
      <t>Gestión del 100%</t>
    </r>
    <r>
      <rPr>
        <sz val="11"/>
        <rFont val="Arial"/>
        <family val="2"/>
      </rPr>
      <t xml:space="preserve"> Hay evidencias de socialización, por ejemplo, el oficio 5.1-52/573 o la capacitación que se llevo a cabo en la facultad de FCCEA “socialización política de Operación de transporte Unicauca”
</t>
    </r>
    <r>
      <rPr>
        <b/>
        <sz val="11"/>
        <rFont val="Arial"/>
        <family val="2"/>
      </rPr>
      <t xml:space="preserve">
</t>
    </r>
    <r>
      <rPr>
        <sz val="11"/>
        <rFont val="Arial"/>
        <family val="2"/>
      </rPr>
      <t xml:space="preserve">En visita in-situ se informa que el area de de Talento Humano, en el segundo semestre 2024, se efectuaron dos capacitaciones con el SENA, para todo el personal incluido los contratistas.
</t>
    </r>
    <r>
      <rPr>
        <b/>
        <sz val="11"/>
        <rFont val="Arial"/>
        <family val="2"/>
      </rPr>
      <t>Impacto del 90%</t>
    </r>
    <r>
      <rPr>
        <sz val="11"/>
        <rFont val="Arial"/>
        <family val="2"/>
      </rPr>
      <t xml:space="preserve">: sin evidencias de socialización del procedimiento PA-GA-5.4.4-PR-1 “Proceso de Apoyo Gestión de la Seguridad y Movilidad
Servicio de Transporte”, versión 5 del 27/12/2023, esto depende de la aprobación de la jefe de la Dependencia. (visita in situ del 02/08/2024)
El equipo de Área de Seguridad y Movilidad, se  mantiene informado de los cambios en los formatos y las actualizaciones para la prestación del  servicio de transporte. 
</t>
    </r>
  </si>
  <si>
    <r>
      <t xml:space="preserve">
</t>
    </r>
    <r>
      <rPr>
        <b/>
        <sz val="11"/>
        <rFont val="Arial"/>
        <family val="2"/>
      </rPr>
      <t xml:space="preserve">Efectividad del 83%
</t>
    </r>
    <r>
      <rPr>
        <sz val="11"/>
        <rFont val="Arial"/>
        <family val="2"/>
      </rPr>
      <t xml:space="preserve">
</t>
    </r>
    <r>
      <rPr>
        <b/>
        <sz val="11"/>
        <rFont val="Arial"/>
        <family val="2"/>
      </rPr>
      <t xml:space="preserve">Gestión del 100% - Impacto del 100%: </t>
    </r>
    <r>
      <rPr>
        <sz val="11"/>
        <rFont val="Arial"/>
        <family val="2"/>
      </rPr>
      <t xml:space="preserve"> se verifico el diseño presentado en las evidencias del drive. 
Se evidencia Protocolo para el control de Salida de Vehículos, PA-GA-5.4.4-PT-1, versión 1 del 12/12/2019 publicado en el Banner programa Lvmen, así como su aplicación mediante la verificación con orden de viaje 5.4.4.-40.3/1211 del 19/07/2024, contiene chequeo diario de inspección sensorial-vehicular PA-GA-5.4.4-OD-1, Versión 3 del 5/03/2019, reporte de novedades PA-GA-5.4.4-FOR 7 Versión  0 del 23/05/2018.
Orden de viaje 5.4.4-40.3/1221 del 17/07/2024, contiene chequeo diario de inspección sensorial-vehicular PA-GA-5.4.4-OD-1, Versión 3 del 5/03/2019, reporte de novedades PA-GA-5.4.4-FOR 7 Versión  0 del 23/05/2018. (visita in situ del 02/08/2024).
Se verifica en la plataforma la actualización de los formatos
 Protocolo para el control de Salida de Vehículos  PA-GA-5.4.4-PT-1 Versión  1 12-12-2019.
Solicitud Préstamo de Vehículo PA-GA-5.4.4-FOR-1 V5 18-11-2024;
Control Horas Extras PA-GA-5.4.4-FOR-2  V3  16-10-2024;
Cumplido de Comisión PA-GA-5.4.4-FOR-3  V3  16-10-2024;
Reporte de Novedades Durante el Servicio PA-GA-5.4.4 FOR 7 V 0 23-05-2018;Solicitud de Mantenimiento de Véhiculos PA-GA-5.4.4-FOR-5 V 2 23-05-2018;Chequeo Diario de Inspección Sensorial - Vehicular, PA-GA-5.4.4-OD-1 Versión: 3  5-03-2019;Orden de viaje PA-GA-5.4.4-FOR-4 Versión 3 5-03-2019</t>
    </r>
  </si>
  <si>
    <r>
      <rPr>
        <b/>
        <sz val="11"/>
        <rFont val="Arial"/>
        <family val="2"/>
      </rPr>
      <t xml:space="preserve">Efectividad del 83% 
</t>
    </r>
    <r>
      <rPr>
        <sz val="11"/>
        <rFont val="Arial"/>
        <family val="2"/>
      </rPr>
      <t xml:space="preserve">
</t>
    </r>
    <r>
      <rPr>
        <b/>
        <sz val="11"/>
        <rFont val="Arial"/>
        <family val="2"/>
      </rPr>
      <t>Gestión del 100%:</t>
    </r>
    <r>
      <rPr>
        <sz val="11"/>
        <rFont val="Arial"/>
        <family val="2"/>
      </rPr>
      <t xml:space="preserve"> Se verifico en la plataforma Lvmen y el PA-GA-5.4.4-PR-1 “Proceso de Apoyo
Gestión de la Seguridad y Movilidad
Servicio de Transporte” versión 4 tiene una fecha de actualización del 05-10-2021, por lo que la solicitud de organizar el procedimiento al ciclo PHVA del 7-10-2022 no ha sido ejecutada 
</t>
    </r>
    <r>
      <rPr>
        <b/>
        <sz val="11"/>
        <rFont val="Arial"/>
        <family val="2"/>
      </rPr>
      <t xml:space="preserve">Impacto del 100%: </t>
    </r>
    <r>
      <rPr>
        <sz val="11"/>
        <rFont val="Arial"/>
        <family val="2"/>
      </rPr>
      <t>se evidencia Protocolo para el control de Salida de Vehículos, PA-GA-5.4.4-PT-1, versión 1 del 12/12/2019 publicado en el Banner programa Lvmen, así como su aplicación mediante la verificación con orden de viaje 5.4.4.-40.3/1211 del 19/07/2024, contiene chequeo diario de inspección sensorial-vehicular PA-GA-5.4.4-OD-1, Versión 3 del 5/03/2019, reporte de novedades PA-GA-5.4.4-FOR 7 Versión  0 del 23/05/2018.
Orden de viaje 5.4.4-40.3/1221 del 17/07/2024, contiene chequeo diario de inspección sensorial-vehicular PA-GA-5.4.4-OD-1, Versión 3 del 5/03/2019, reporte de novedades PA-GA-5.4.4-FOR 7 Versión  0 del 23/05/2018. (visita in situ del 02/08/2024)
La OCI recomienda continuar con la actualización del formato de chequeo diario de inspección sesorial - vehicular PA-GA-5.4.4-OD-1 V3 fecha de actualización 5/marzo /2019, entre otros.</t>
    </r>
  </si>
  <si>
    <r>
      <rPr>
        <b/>
        <sz val="11"/>
        <rFont val="Arial"/>
        <family val="2"/>
      </rPr>
      <t xml:space="preserve">Efectividad del 70%
</t>
    </r>
    <r>
      <rPr>
        <sz val="11"/>
        <rFont val="Arial"/>
        <family val="2"/>
      </rPr>
      <t xml:space="preserve">
</t>
    </r>
    <r>
      <rPr>
        <b/>
        <sz val="11"/>
        <rFont val="Arial"/>
        <family val="2"/>
      </rPr>
      <t>Gestión del 100%:</t>
    </r>
    <r>
      <rPr>
        <sz val="11"/>
        <rFont val="Arial"/>
        <family val="2"/>
      </rPr>
      <t xml:space="preserve"> Hay evidencias de socialización, por ejemplo, el oficio 5.1-52/573 o la capacitación que se llevo a cabo en la facultad de FCCEA “socialización política de Operación de transporte Unicauca”
Resultante de la visita in-situ del 29/01/2025, se conocio  notificación de citación
 oficio 5.4.4-55.6/707 de 22 de noviembre de 2024, por parte de la División de Gestión de Talento Humano, Reinducción para los conductores. el dia 25 de noviembre 2024, en la Facultad de Ciencias Contables, salon 403 apartir de las 8:30 am.
</t>
    </r>
    <r>
      <rPr>
        <b/>
        <sz val="11"/>
        <rFont val="Arial"/>
        <family val="2"/>
      </rPr>
      <t>Impacto del 60%</t>
    </r>
    <r>
      <rPr>
        <sz val="11"/>
        <rFont val="Arial"/>
        <family val="2"/>
      </rPr>
      <t xml:space="preserve">: Se evidencia socialización del protocolo en reunión del 17/05/2022 acta general para actividades universitarias 5.4.4-1.56/1366.  Sin evidencia de socialización para las vigencias 2023 y 2024. (visita in situ del 02/08/2024)
En la visita in-situ 29/01/2025, sin evidencia. </t>
    </r>
  </si>
  <si>
    <r>
      <rPr>
        <b/>
        <sz val="11"/>
        <rFont val="Arial"/>
        <family val="2"/>
      </rPr>
      <t>Efectividad del 83% 
Gestión e impacto del 100%:</t>
    </r>
    <r>
      <rPr>
        <sz val="11"/>
        <rFont val="Arial"/>
        <family val="2"/>
      </rPr>
      <t xml:space="preserve"> Se estan aplicando controles referidos en el protocolo, se verifica con orden de viaje 5.4.4.-40.3/1211 del 19/07/2024, contiene chequeo diario de inspección sensorial-vehicular PA-GA-5.4.4-OD-1, Versión 3 del 5/03/2019, reporte de novedades PA-GA-5.4.4-FOR 7 Versión  0 del 23/05/2018.
Orden de viaje 5.4.4-40.3/1221 del 17/07/2024, contiene chequeo diario de inspección sensorial-vehicular PA-GA-5.4.4-OD-1, Versión 3 del 5/03/2019, reporte de novedades PA-GA-5.4.4-FOR 7 Versión  0 del 23/05/2018. (visita in situ del 02/08/2024)
En la visita in-situ del 29/01/2025, se solicito verificar los soportes para observar su aplicación.
 * Orden de viaje PA-GA-5.4.4-FOR-4 V3 actualizacion 5 marzo 2019 fecha de orden 9 de agosto 2024 
*Orden de salida 5.4.4-40.3/1516, tiene el formato de chequeo diario de inspección sensorial vehicular PA-GA-5.4.4-OD-1 del 5 de marzo 2019 fecha de salida 16 de agosto 2024.
 5.4.4-40.3/1516, tiene el formato reporte de novedades durante el servicio *PA-GA.5.4.4-FOR 7 del 23 de mayo del 2018 fecha de solicitud de 16 de agosto de 2024 5.4.4-40.3/1516.
*Solicitud prestamo de véhiculo  PA-GA.5.4.4-FOR 1 V4 del 3 de septiembre del 2020 TRD 8.7.4-55.9/01 DEL 6 del agosto 2024
*Solicitud e autorización de avance PA-GA.5.4.4-FOR 23 V6 del 15 de febrero del 2023,solicitud 5.4.4-55.1/1465 la oficina de segurida control y movilidad para evitar anotaciones lapíz actualizó el formato
Se concluye que se está realizando los controles necesarios para la prestación de servicios, la salida de los vehiculos del parque automotor. </t>
    </r>
  </si>
  <si>
    <r>
      <rPr>
        <b/>
        <sz val="11"/>
        <rFont val="Arial"/>
        <family val="2"/>
      </rPr>
      <t xml:space="preserve">Efectividad del 80%
</t>
    </r>
    <r>
      <rPr>
        <sz val="11"/>
        <rFont val="Arial"/>
        <family val="2"/>
      </rPr>
      <t xml:space="preserve">
</t>
    </r>
    <r>
      <rPr>
        <b/>
        <sz val="11"/>
        <rFont val="Arial"/>
        <family val="2"/>
      </rPr>
      <t>Gestión del 100%</t>
    </r>
    <r>
      <rPr>
        <sz val="11"/>
        <rFont val="Arial"/>
        <family val="2"/>
      </rPr>
      <t xml:space="preserve">: Se realizo una verificación en las fechas: 13/02/2023, 27/02/2023 y 30/05/2023 del PA-GA-5.4.4-FOR-8 “Acta de Verificación Básica de Dotación de Vehículos” pero no se tiene una periodicidad definida. 
El control diario se raliza por parte del personal encargado y bajo una lista de chequeo adherida al formato de solicitud de vehiculo, por ultimo al momento de que el carro va a salir del area el vigilante revisa los documentos y elementos del vehiculo y se encarga de la salida 
 Se continua con el formato PA-GA-5.4.4-FOR-8 “Acta de Verificación Básica de Dotación de Vehículos” pero no se tiene una periodicidad definida. Persiste la misma acta de verificación básica de dotación de vehiculos. 
Se conocio Acta de entrega del Kit por parte de Seguridad y Salud en el Trabajo, realizado en el segundo semestre 2024. 
La oficina realiza la entrega de la  Dotación de la herramienta mediante oficios para el segundo semestre 2024.
El control de la dotación vehicular es diaria y se realiza por parte del personal encargado y bajo una lista de chequeo adherida al formato de solicitud de vehiculo, por ultimo al momento de que el carro va a salir el personal de vigilanciaa revisa los documentos y elementos del vehiculo y se encarga de la salida 
</t>
    </r>
    <r>
      <rPr>
        <b/>
        <sz val="11"/>
        <rFont val="Arial"/>
        <family val="2"/>
      </rPr>
      <t xml:space="preserve">Impacto del 90%: </t>
    </r>
    <r>
      <rPr>
        <sz val="11"/>
        <rFont val="Arial"/>
        <family val="2"/>
      </rPr>
      <t>se evidencia la aplicación del Protocolo para el control de Salida de Vehículos, PA-GA-5.4.4-PT-1, versión 1 del 12/12/2019, mediante el diligenciamiento del chequeo diario de inspección sensorial-vehicular PA-GA-5.4.4-OD-1, Versión 3 del 5/03/2019. Se verifica con orden de viaje 5.4.4.-40.3/1211 del 19/07/2024, Orden de viaje 5.4.4-40.3/1221 del 17/07/2024.
El formato “Acta de Verificación Básica de Dotación de Vehículos" PA-GA-5.4.4-FOR-8, versión 2 del 07/10/2021, se  publicó en el programa Lvmen diligenciado, además se constató que no se aplica en la operación del proceso.
La OCI recomienda ajustar el formato publicado.
(visita in situ del 02/08/2024)
Para el segundo semetre 2024, se evidencia la aplicación del Protocolo para el control de Salida de Vehículos, como se menciona en el archivo que se verifico:Orden de viaje PA-GA-5.4.4-FOR-4 v3 actualización 5 marzo 2019 fecha de orden 9 de agosto 2024 y orden de salida 5.4.4-40.3/1516, tiene el formato de chequeo diario de inspección sensorial vehicular en el PA-GA-5.4.4-OD-1del 5 de marzo 2019 fecha de salida 16 de agosto 2024 5.4.4-40.3/1516, tiene el formato reporte de novedades durante el servicio PA-GA.5.4.4-FOR 7 del 23 de mayo del 2018 fecha de solicitud de 16 de agosto de 2024 5.4.4-40.3/1516
Solicitud prestamo de véhiculo  PA-GA.5.4.4-FOR 1 V4 del 3 de septiembre del 2020 TRD 8.7.4-55.9/01 DEL 6 del agosto 2024
Solicitud e autorización de avance PA-GA.5.4.4-FOR 23 V6 del 15 de febrero del 2023 solicitud 5.4.4-55.1/1465</t>
    </r>
  </si>
  <si>
    <r>
      <rPr>
        <b/>
        <sz val="11"/>
        <rFont val="Arial"/>
        <family val="2"/>
      </rPr>
      <t xml:space="preserve">Efectividad del 73%
</t>
    </r>
    <r>
      <rPr>
        <sz val="11"/>
        <rFont val="Arial"/>
        <family val="2"/>
      </rPr>
      <t xml:space="preserve">
</t>
    </r>
    <r>
      <rPr>
        <b/>
        <sz val="11"/>
        <rFont val="Arial"/>
        <family val="2"/>
      </rPr>
      <t xml:space="preserve">Gestión del 100%: </t>
    </r>
    <r>
      <rPr>
        <sz val="11"/>
        <rFont val="Arial"/>
        <family val="2"/>
      </rPr>
      <t xml:space="preserve">Se verifico el calendario en el drive de evidencias reportado por el Área de Seguridad, Control y Movilidad, evidenciando su constante retroalimentación 
</t>
    </r>
    <r>
      <rPr>
        <b/>
        <sz val="11"/>
        <rFont val="Arial"/>
        <family val="2"/>
      </rPr>
      <t>Impacto del 70%:</t>
    </r>
    <r>
      <rPr>
        <sz val="11"/>
        <rFont val="Arial"/>
        <family val="2"/>
      </rPr>
      <t xml:space="preserve"> se verifica la entrega de elementos mediante Oficio 5.4.4-55.6/024 de 15/02/2024, pero el calendario de programación y seguimiento a la calidad de los elementos de dotación básica de los vehículos dispuestos en el Drive no se esta implementando.
Se registra la entrega de elementos de botiquín mediante el diligenciameinto del PA-GA-5.1.4-FOR 32, versión 0 del 11/10/2016.
En el segundo semestre 2024 se recibio por parte de Almacen herramienta  las cuales estan en custodia de la jefatura Área de Seguridad, Control y Movilidad  para su posterior entrega .
Se registra la entrega de elementos de botiquín mediante el diligenciameinto del PA-GA-5.1.4-FOR 32, versión 0 del 11/10/2016
</t>
    </r>
  </si>
  <si>
    <r>
      <rPr>
        <b/>
        <sz val="11"/>
        <rFont val="Arial"/>
        <family val="2"/>
      </rPr>
      <t xml:space="preserve">Efectividad del 83% 
</t>
    </r>
    <r>
      <rPr>
        <sz val="11"/>
        <rFont val="Arial"/>
        <family val="2"/>
      </rPr>
      <t xml:space="preserve">
</t>
    </r>
    <r>
      <rPr>
        <b/>
        <sz val="11"/>
        <rFont val="Arial"/>
        <family val="2"/>
      </rPr>
      <t>Gestión del 100%</t>
    </r>
    <r>
      <rPr>
        <sz val="11"/>
        <rFont val="Arial"/>
        <family val="2"/>
      </rPr>
      <t xml:space="preserve">: Se realizo una verificación en las fechas: 13/02/2023, 27/02/2023 y 30/05/2023 del PA-GA-5.4.4-FOR-8 “Acta de Verificación Básica de Dotación de Vehículos” pero no se tiene una periodicidad definida. 
El control diario se raliza por parte del personal encargado y bajo una lista de chequeo adherida al formato de solicitud de vehiculo, por ultimo al momento de que el carro va a salir del area el vigilante revisa los documentos y elementos del vehiculo y se encarga de la salida 
</t>
    </r>
    <r>
      <rPr>
        <b/>
        <sz val="11"/>
        <rFont val="Arial"/>
        <family val="2"/>
      </rPr>
      <t xml:space="preserve">Impacto del 100%: </t>
    </r>
    <r>
      <rPr>
        <sz val="11"/>
        <rFont val="Arial"/>
        <family val="2"/>
      </rPr>
      <t xml:space="preserve">se evidencia el diligenciamiento del chequeo diario de inspección sensorial-vehicular PA-GA-5.4.4-OD-1, Versión 3 del 5/03/2019. Se verifica con orden de viaje 5.4.4.-40.3/1211 del 19/07/2024, Orden de viaje 5.4.4-40.3/1221 del 17/07/2024.
En la visita in-situ 29/01/2025, se continua con los diferentes controles en la prestación de los servicios de transporte y el control de salida de los vehiculos diligenciamiento el chequeo diario de inspección sensorial-vehicular del parque automotor. 
 </t>
    </r>
  </si>
  <si>
    <r>
      <rPr>
        <b/>
        <sz val="11"/>
        <rFont val="Arial"/>
        <family val="2"/>
      </rPr>
      <t xml:space="preserve">Efectividad del 60%
</t>
    </r>
    <r>
      <rPr>
        <sz val="11"/>
        <rFont val="Arial"/>
        <family val="2"/>
      </rPr>
      <t xml:space="preserve">
 </t>
    </r>
    <r>
      <rPr>
        <b/>
        <sz val="11"/>
        <rFont val="Arial"/>
        <family val="2"/>
      </rPr>
      <t>Gestión del 80%:</t>
    </r>
    <r>
      <rPr>
        <sz val="11"/>
        <rFont val="Arial"/>
        <family val="2"/>
      </rPr>
      <t xml:space="preserve"> El control diario se realiza por parte del personal encargado y bajo una lista de chequeo adherida al formato de solicitud de vehículo, por último, al momento de que el carro va a salir del área el vigilante revisa los documentos y elementos del vehículo y se encarga de la salida 
</t>
    </r>
    <r>
      <rPr>
        <b/>
        <sz val="11"/>
        <rFont val="Arial"/>
        <family val="2"/>
      </rPr>
      <t>Impacto del 50%</t>
    </r>
    <r>
      <rPr>
        <sz val="11"/>
        <rFont val="Arial"/>
        <family val="2"/>
      </rPr>
      <t xml:space="preserve">: El formato “Acta de Verificación Básica de Dotación de Vehículos" PA-GA-5.4.4-FOR-8, versión 2 del 07/10/2021, se  publicó en el programa Lvmen diligenciado, además se constató que no se aplica en la operación del proceso. Para suplir esta actividad se usa un formato que no tiene nombre ni codificación.
La OCI recomienda ajustar el formato publicado.
(visita in situ del 02/08/2024)
La OCI recomienda que el formato Dotación de Vehículos" PA-GA-5.4.4-FOR-8, versión 2 del 07/10/2021, se actualice ya que el personal ha cambiado, al igual que los vehiculos que han ingresado a la Universidad del Cauca. 
Se continua con las programaciones de salida en el calendario Google. </t>
    </r>
  </si>
  <si>
    <r>
      <rPr>
        <b/>
        <sz val="11"/>
        <rFont val="Arial"/>
        <family val="2"/>
      </rPr>
      <t xml:space="preserve">Efectividad del 83% 
</t>
    </r>
    <r>
      <rPr>
        <sz val="11"/>
        <rFont val="Arial"/>
        <family val="2"/>
      </rPr>
      <t xml:space="preserve">
</t>
    </r>
    <r>
      <rPr>
        <b/>
        <sz val="11"/>
        <rFont val="Arial"/>
        <family val="2"/>
      </rPr>
      <t xml:space="preserve">Gestión del 100% - Impacto del 100% </t>
    </r>
    <r>
      <rPr>
        <sz val="11"/>
        <rFont val="Arial"/>
        <family val="2"/>
      </rPr>
      <t>Se implementa el control por medio de la emisión de unos vales con un valor determinado y pactado previamente entre funcionarios y el profesional administrativo, en caso de haber diferencia en la operación se reporta con la comanda de la estación de servicio; hay evidencia de recibos por parte de los conductores, de la comanda de la estación de servicio y lo emitido y autorizado desde el Área 
El seguimiento y/o control de los contratos de prestación de servicios para combustible, aceites, y otros, se realiza mediante la implementación de una herramienta Excel publicada en el Drive, en la oficina de Transporte. Este seguimiento se realiza diariamente y se saca reporte de la ejecución del mismo de manera mensual para autorización de los pagos al contratista.
(visita in situ del 02/08/2024)
 Formato PA-GA-5.4.4-PR-3 Versión 2 30-08-2024 Gestión y supervision de Contratos para el Adecuado Cumplimiento del Servicio de Transporte, se evidencia el seguimiento y/o control de los contratos de prestación de servicios para combustible, aceites, y otros, se realiza mediante la implementación de una herramienta Excel publicada en el Drive. Esta actividad es constante la retroalimentación para realizar los reportes de su ejecución, para la vigencia 2024, el contrato con el proveedor INVERSAV, se realizo OTRO SI ya que continua con saldo y se aprobo la reserva presupuestal.</t>
    </r>
  </si>
  <si>
    <r>
      <rPr>
        <b/>
        <sz val="11"/>
        <rFont val="Arial"/>
        <family val="2"/>
      </rPr>
      <t xml:space="preserve">Efectividad del 67%
</t>
    </r>
    <r>
      <rPr>
        <sz val="11"/>
        <rFont val="Arial"/>
        <family val="2"/>
      </rPr>
      <t xml:space="preserve">
</t>
    </r>
    <r>
      <rPr>
        <b/>
        <sz val="11"/>
        <rFont val="Arial"/>
        <family val="2"/>
      </rPr>
      <t>Gestión del 100%:</t>
    </r>
    <r>
      <rPr>
        <sz val="11"/>
        <rFont val="Arial"/>
        <family val="2"/>
      </rPr>
      <t xml:space="preserve"> Se verifico el control efectivo que se lleva con el nuevo taller “Valencia Autos” y el cruce de información entre comandas de reparaciones por parte del taller, repuestos cambiados devueltos e información presentada por el Área
 Hay un seguimiento permanente a los contratos de  (combustible, aceites) con la proveedor INVERSAV y el mantenimiento de los vehiculos del Parque automotor con la firma MAZDA SERVICIOS, vigentes para este semestre 2025. 
</t>
    </r>
    <r>
      <rPr>
        <b/>
        <sz val="11"/>
        <rFont val="Arial"/>
        <family val="2"/>
      </rPr>
      <t xml:space="preserve">Impacto del 50%: </t>
    </r>
    <r>
      <rPr>
        <sz val="11"/>
        <rFont val="Arial"/>
        <family val="2"/>
      </rPr>
      <t xml:space="preserve">Sin evidencia de indicadores documentados. La herramienta implementada para el seguimiento de contratos permite obtener estadisticas de ejecución mensual con sus respectivos graficos.
(visita in situ del 02/08/2024)
Sin evidencia de indicadores documentados. 
Se continua con la herramienta implementada en el Drive, para realizar el seguimiento de contratos permite obtener estadisticas de ejecución mensual.
En la visita in situ del 29/01/2025 A través de la auditoría interna se da observaciones de indicadores  de efectividad. Evaluar la ejecución de las rutas de vehículos programados, nombre del indicador ejecución de la programación vehicular, en el sotware esta contemplado. </t>
    </r>
  </si>
  <si>
    <t xml:space="preserve">Sin evaluar efectividad por no cumplir un avance superior al 90%
Mediante evidencias físicas reportadas in situ el 29/01/2025, el área de Seguridad, Control y Movilidad, remitio oficio 5.4-55.6/011 del 21 de enero del 2025 a la funcionaria Yadi Rocio Mosquera, exfuncionaria de esta área, solicitando la entrega del archivo de gestión de las vigencias 2019, 2020, 2021. 
Igualmente se envio oficio 5.4-55.6/019 del 24 de enero del 2025, a Secretaria General, solicitudando la autorización para entrega del archivo de gestión de la vigencia 2022.
La vigencia 2023, se tiene un avance del 80%, se indica que por rotación del personal no se ha culminado dicha labor. 
 Gestión documental 2024, se encuentra completo.
</t>
  </si>
  <si>
    <r>
      <rPr>
        <b/>
        <sz val="11"/>
        <rFont val="Arial"/>
        <family val="2"/>
      </rPr>
      <t xml:space="preserve">Efectividad del 83%
</t>
    </r>
    <r>
      <rPr>
        <sz val="11"/>
        <rFont val="Arial"/>
        <family val="2"/>
      </rPr>
      <t xml:space="preserve">
</t>
    </r>
    <r>
      <rPr>
        <b/>
        <sz val="11"/>
        <rFont val="Arial"/>
        <family val="2"/>
      </rPr>
      <t>Gestión e impacto del 100%</t>
    </r>
    <r>
      <rPr>
        <sz val="11"/>
        <rFont val="Arial"/>
        <family val="2"/>
      </rPr>
      <t>: se participa en capacitaciónes sobre gestión documental.
(visita in situ del 02/08/2024)
 En la visita in situ del 29/01/2025, se evidencia que en el segundo semestre 2024, se participo en dos Capacitaciones en el SENA, curso de mecanica preventiva de vehiculos con una duración de 48 horas, 13/11/2024 y curso comunicación acertiva en equipos de trabajo, intencidad de 48 horas 11 de noviembre al 13/11/2024.</t>
    </r>
  </si>
  <si>
    <r>
      <rPr>
        <b/>
        <sz val="11"/>
        <rFont val="Arial"/>
        <family val="2"/>
      </rPr>
      <t xml:space="preserve">Efectividad del 48%
</t>
    </r>
    <r>
      <rPr>
        <sz val="11"/>
        <rFont val="Arial"/>
        <family val="2"/>
      </rPr>
      <t xml:space="preserve">
</t>
    </r>
    <r>
      <rPr>
        <b/>
        <sz val="11"/>
        <rFont val="Arial"/>
        <family val="2"/>
      </rPr>
      <t>Gestión del 50%:</t>
    </r>
    <r>
      <rPr>
        <sz val="11"/>
        <rFont val="Arial"/>
        <family val="2"/>
      </rPr>
      <t xml:space="preserve"> se continua en la vigencia 2024 con la gestión del riesgo identificado para la vigencia 2023, sin observar cambios u ajustes al mismo.
El área seguridad, control y movilidad, indica que existe la Matriz de Gestión del Riesgos PE-GE-2.4-FOR 59 V:3 16-02-2022, versión 3, Riesgo identificado: "Destinar el combustible para fines distintos al aprobicionamiento de los vehiculos, plantas eléctricas y maquinaria agricola de la institución", Tipo de riesgo: Corrupción..   
El área de seguridad, control y movilidad, continua con la herramienta en el Drive, para el seguimiento de contratos de combustible y aceites a diario, para llevar el control de consumo. 
A través de la auditoría interna se dio la observación de realizar un indicador  de efectividad y evaluar la ejecución de las rutas de vehículos programados, nombre del indicador ejecución de la programación vehicular.  
</t>
    </r>
    <r>
      <rPr>
        <b/>
        <sz val="11"/>
        <rFont val="Arial"/>
        <family val="2"/>
      </rPr>
      <t>Impacto del 50%</t>
    </r>
    <r>
      <rPr>
        <sz val="11"/>
        <rFont val="Arial"/>
        <family val="2"/>
      </rPr>
      <t xml:space="preserve">: no se visibiliza el riesgo en la matriz de riesgos institucional para la vigencia 2024, sin evidencias de su seguimiento.
(visita in situ del 02/08/2024)
</t>
    </r>
  </si>
  <si>
    <r>
      <rPr>
        <b/>
        <sz val="11"/>
        <rFont val="Arial"/>
        <family val="2"/>
      </rPr>
      <t xml:space="preserve"> Efectividad del 73%
</t>
    </r>
    <r>
      <rPr>
        <sz val="11"/>
        <rFont val="Arial"/>
        <family val="2"/>
      </rPr>
      <t xml:space="preserve">
</t>
    </r>
    <r>
      <rPr>
        <b/>
        <sz val="11"/>
        <rFont val="Arial"/>
        <family val="2"/>
      </rPr>
      <t>Gestión e impacto del 60%</t>
    </r>
    <r>
      <rPr>
        <sz val="11"/>
        <rFont val="Arial"/>
        <family val="2"/>
      </rPr>
      <t xml:space="preserve">: sin evidencias de solicitud de capacitaciones al área de salud ocupacional.
(visita in situ del 02/08/2024)
En la visita in-situ se informa que por parte de Seguridad y Salud en el trabajo no se han realizado capacitaciones en el segundo semestre 2024. 
Por parte de la Vicerrectoria Administrativa se autorizo realizar una integración al personal seguridad, control y movilidad en el segundo semetre 2024. 
Se indica que el clima laboral ha mejorado.
</t>
    </r>
  </si>
  <si>
    <r>
      <rPr>
        <b/>
        <sz val="11"/>
        <rFont val="Arial"/>
        <family val="2"/>
      </rPr>
      <t xml:space="preserve">Efectividad del 70%
</t>
    </r>
    <r>
      <rPr>
        <sz val="11"/>
        <rFont val="Arial"/>
        <family val="2"/>
      </rPr>
      <t xml:space="preserve">
</t>
    </r>
    <r>
      <rPr>
        <b/>
        <sz val="11"/>
        <rFont val="Arial"/>
        <family val="2"/>
      </rPr>
      <t xml:space="preserve">Gestión del 80%: </t>
    </r>
    <r>
      <rPr>
        <sz val="11"/>
        <rFont val="Arial"/>
        <family val="2"/>
      </rPr>
      <t xml:space="preserve">se han realizado actividades por iniciativa propia, como salidas y actividades de integración como celebración de cumpleaños.
Se esta gestionando un espacio lúdico para toma de pausas activas o descanso que permita mejorar el clima laboral.
En visita in-situ se evidenció que se esta realizando gestiones con la Vicerrectoria Administrativa y la oficina de  Planeación Desarrollo Institucional OPDI, en la elaboración de un espacio fisico para esparcimiento y descanso de los conductores en su horario de llegada de los viajes, en la asignación de salida, ya cuentan con los planos y su estructura. 
Igualmente en el segundo semestre 2024 se adecuo un sitio con la dotación de stan de descanso transtirorio (dotación como sillas comodas, televisor, cafetin). 
</t>
    </r>
    <r>
      <rPr>
        <b/>
        <sz val="11"/>
        <rFont val="Arial"/>
        <family val="2"/>
      </rPr>
      <t>Impacto del 80%</t>
    </r>
    <r>
      <rPr>
        <sz val="11"/>
        <rFont val="Arial"/>
        <family val="2"/>
      </rPr>
      <t xml:space="preserve">: de acuerdo a la información suministrada durante la visita se conoció que el clima laboral ha mejorado.
Se sugiere continuar con actividades que mejoren el clima laboral.
</t>
    </r>
  </si>
  <si>
    <t xml:space="preserve">Muestreo aleatorio del archivo de gestión vigencio 2022:
-	5.44-64.7 orden de viaje, de la vigencia 2022, organizada de manera cronologíca, perforación y numero de folios adecuado, total de carpetas 10
-	Certificado 5.4.4-20.8 certificado de supervisoría organizada de manera cronológica, perforación y numero de folios adecuado, total de carpetas 1
-	5.4.4-92.1 solicitud avances o viáticos organizada de manera cronológica, perforación y numero de folios adecuado, total de carpetas 1, sin identificación de serie y subserie en el rotulo 
-	5.4.4-1.56 actas de reunión organizada de manera cronológica, perforación y numero de folios adecuado, total de carpetas. 
Mediante evidencias físicas reportadas in situ el 2 de agosto de 2024, se constató que se estan realizando acciones en gestión documental para organizar el archivo. Los documentos de la vigencia 2022 tienen un avance del 90%, la meta es contar con el 100% en un mes, listo para transferencia. Para la vigencia 2023, se tiene un 50% de avance, la meta del 100% a diciembre de 2024. La organización del archivo de la vigencia 2024 esta al día.
Se envío oficio solicitando entrega formal del archivo de las vigencias 2019, 2020, y 2021. Sin respuesta.
Se asigna un avance del 85%, incrementando un 15% con el seguimiento anterior, pendiente de la transferencia de las vigencias 2019, 2020, 2021 y cumplimento de las metas programadas para la organización de los archivos de las vigencias 2022 y 2023.
Mediante evidencias físicas reportadas in situ el 29/01/2025, el área de Seguridad, Control y Movilidad, remitio oficio 5.4-55.6/011 del 21 de enero del 2025 a la funcionaria Yadi Rocio Mosquera, exfuncionaria de esta área, solicitando la entrega del archivo de gestión de las vigencias 2019, 2020, 2021. 
Igualmente se envio oficio 5.4-55.6/019 del 24 de enero del 2025, a Secretaria General, solicitudando la autorización para entrega del archivo de gestión de la vigencia 2022.
La organización del archivo de la vigencia 2023, tiene un avance del 80%, se indica que por rotación del personal no se ha culminado dicha labor, y el 2024 se encuentra completo (100%)
Con lo anterior, se determina que el avance de la actividad mantiene el porcentaje del seguimiento anterior (85%).
</t>
  </si>
  <si>
    <t>Muestreo aleatorio del archivo de gestión vigencio 2022:
-	5.44-64.7 orden de viaje, de la vigencia 2022, organizada de manera cronologíca, perforación y numero de folios adecuado, total de carpetas 10
-	Certificado 5.4.4-20.8 certificado de supervisoría organizada de manera cronológica, perforación y numero de folios adecuado, total de carpetas 1
-	5.4.4-92.1 solicitud avances o viáticos organizada de manera cronológica, perforación y numero de folios adecuado, total de carpetas 1, sin identificación de serie y subserie en el rotulo 
-	5.4.4-1.56 actas de reunión organizada de manera cronológica, perforación y numero de folios adecuado, total de carpetas. 
Sin evidencia de acta de seguimiento, por lo tanto el avance se mantiene.
Mediante evidencias físicas reportadas in situ el 29/01/2025, el área de Seguridad, Control y Movilidad, remitio oficio 5.4-55.6/011 del 21 de enero del 2025 a la funcionaria Yadi Rocio Mosquera, exfuncionaria de esta área, solicitando la entrega del archivo de gestión de las vigencias 2019, 2020, 2021. 
Igualmente se envio oficio 5.4-55.6/019 del 24 de enero del 2025, a Secretaria General, solicitudando la autorización para entrega del archivo de gestión de la vigencia 2022.
La organización del archivo de la vigencia 2023, tiene un avance del 80%, se indica que por rotación del personal no se ha culminado dicha labor, y el 2024 se encuentra completo (100%)
Con lo anterior, se determina que el avance de la actividad mantiene el porcentaje del seguimiento anterior (70%).</t>
  </si>
  <si>
    <r>
      <t>Con comunicación electrónica del 5/08/2024 el área seguridad, control y movilidad presenta Formato: Matriz de Riesgos, código PE-GE-2.4-FOR 59 del 16/02/2022, versión 3, Riesgo identificado: "</t>
    </r>
    <r>
      <rPr>
        <i/>
        <sz val="11"/>
        <rFont val="Arial"/>
        <family val="2"/>
      </rPr>
      <t>Destinar el combustible para fines distintos al aprobicionamiento de los vehiculos, plantas eléctricas y maquinaria agricola de la institución"</t>
    </r>
    <r>
      <rPr>
        <sz val="11"/>
        <rFont val="Arial"/>
        <family val="2"/>
      </rPr>
      <t>, Tipo de riesgo: Corrupción.</t>
    </r>
  </si>
  <si>
    <r>
      <t xml:space="preserve">Con correo eletrónico del 09/12/2021 desde la cuenta gestionambiental@unicauca.edu.co,  se recibió la matriz de seguimiento al Plan de Mejoramiento de Gestión Ambiental, remitiendo el documento "2021-V1 Matriz de Aspecto Ambientales", la cual desarrolla actividades para las líneas estratégicas previstas en la Política de Gestión Ambiental adoptada con el Acuerdo Superior 058 de 2018. 
</t>
    </r>
    <r>
      <rPr>
        <u/>
        <sz val="11"/>
        <rFont val="Arial"/>
        <family val="2"/>
      </rPr>
      <t xml:space="preserve">
Matríz de aspectos ambiebtales consolidada </t>
    </r>
    <r>
      <rPr>
        <sz val="11"/>
        <rFont val="Arial"/>
        <family val="2"/>
      </rPr>
      <t xml:space="preserve">
</t>
    </r>
  </si>
  <si>
    <t>Se evidencia que mediante la actualización de la Matriz de Aspectos e Impactos Ambientales Institucional y el Plan de Gestión Integral de Residuos, se consolido el Plan de Gestión Ambiental y el Plan de Gestión Integral de Residuos de la Universidad del Cauca.</t>
  </si>
  <si>
    <t xml:space="preserve">Con oficio 2.2-27.13/001 del 29/01/2025 el CGCyAI informó:
3.3 Se presentan evidencias del seguimiento al Plan de desarrollo Institucional y informe de seguimiento y fortalecimiento al plan de gestión ambiental y conformación del comité técnico de gestión ambiental Resolución Rectoral 0973 del 06/09/2024.                                                                                                                                                                             </t>
  </si>
  <si>
    <t xml:space="preserve">Con oficio 2.2-27.13/001 del 29/01/2025 el CGCyAI informó:
1.2 Documento Plan de Gestión Ambiental presentado por el Centro de Gestión de la Calidad y de la Acreditación Institucional, Área de Gestión Ambiental.
4.1 Batería de indicadores  
5.1 Bitácora de seguimiento
</t>
  </si>
  <si>
    <t xml:space="preserve">Se aprueba el documento del Plan de Gestión Ambiental por parte del Comité Técnico de Gestión Ambiental, donde se establece el indicador y herramientas de seguimiento. </t>
  </si>
  <si>
    <t>Se entrega un informe de seguimiento del Plan de Gestión Ambiental periodo junio - diciembre, avalado por el Centro de la Calidad y Acreditación Institucional.</t>
  </si>
  <si>
    <r>
      <t xml:space="preserve">Actividad con efectividad del 100%
</t>
    </r>
    <r>
      <rPr>
        <b/>
        <sz val="11"/>
        <rFont val="Arial"/>
        <family val="2"/>
      </rPr>
      <t>Eficaciá y eficiencia de 100%</t>
    </r>
    <r>
      <rPr>
        <sz val="11"/>
        <rFont val="Arial"/>
        <family val="2"/>
      </rPr>
      <t xml:space="preserve">: se adoptó la politica de gestión ambiental en el tiempo programado.
</t>
    </r>
    <r>
      <rPr>
        <b/>
        <sz val="11"/>
        <rFont val="Arial"/>
        <family val="2"/>
      </rPr>
      <t xml:space="preserve">Gestión: 100% </t>
    </r>
    <r>
      <rPr>
        <sz val="11"/>
        <rFont val="Arial"/>
        <family val="2"/>
      </rPr>
      <t xml:space="preserve"> La Política de Gestión Ambiental define los criterios para el fomento de un campus sustentable, con los objetivos y líneas estratégicas.
</t>
    </r>
    <r>
      <rPr>
        <b/>
        <sz val="11"/>
        <rFont val="Arial"/>
        <family val="2"/>
      </rPr>
      <t xml:space="preserve">Impacto: 100%, </t>
    </r>
    <r>
      <rPr>
        <sz val="11"/>
        <rFont val="Arial"/>
        <family val="2"/>
      </rPr>
      <t>la Politica es el referente de operación en la Gestión Ambiental Institucional. Aun no se ha determinado la necesidad de ajuste.
Corte I semestre 2024, se valoró nuevamente la efectividad, evidenciando la permanencia de la mejora con ajustes a los linemeamientos internos del Sistema de Gestión Ambiental</t>
    </r>
  </si>
  <si>
    <r>
      <t xml:space="preserve">Actividad con efectividad del 99%
</t>
    </r>
    <r>
      <rPr>
        <b/>
        <sz val="11"/>
        <rFont val="Arial"/>
        <family val="2"/>
      </rPr>
      <t>Eficacia y eficiencia: 97%</t>
    </r>
    <r>
      <rPr>
        <sz val="11"/>
        <rFont val="Arial"/>
        <family val="2"/>
      </rPr>
      <t xml:space="preserve">, se socializo la Politica de Gestión Ambiental por fuera de los tiempos programados.
</t>
    </r>
    <r>
      <rPr>
        <b/>
        <sz val="11"/>
        <rFont val="Arial"/>
        <family val="2"/>
      </rPr>
      <t>Gestión: 100%</t>
    </r>
    <r>
      <rPr>
        <sz val="11"/>
        <rFont val="Arial"/>
        <family val="2"/>
      </rPr>
      <t xml:space="preserve">, la socialización de la Política permite interiorizar los objetivos y lineas estratégicas  a la comunidad universitaria. 
</t>
    </r>
    <r>
      <rPr>
        <b/>
        <sz val="11"/>
        <rFont val="Arial"/>
        <family val="2"/>
      </rPr>
      <t>Impacto: 100%</t>
    </r>
    <r>
      <rPr>
        <sz val="11"/>
        <rFont val="Arial"/>
        <family val="2"/>
      </rPr>
      <t>, Se continua socializando la Política con infografias y presentaciones.
Corte I semestre 2024, se valoró nuevamente la efectividad, evidenciando la permanencia de la mejora con ajustes a los linemeamientos internos del Sistema de Gestión Ambiental y socialización de las mismas.</t>
    </r>
  </si>
  <si>
    <r>
      <t xml:space="preserve">Actividad con efectividad de 100%:
</t>
    </r>
    <r>
      <rPr>
        <b/>
        <sz val="11"/>
        <rFont val="Arial"/>
        <family val="2"/>
      </rPr>
      <t>Eficacia y eficiencia: 100%,</t>
    </r>
    <r>
      <rPr>
        <sz val="11"/>
        <rFont val="Arial"/>
        <family val="2"/>
      </rPr>
      <t xml:space="preserve">  se reglamentó el funcionamiento del Comité Técnico de Gestión Ambiental de la Universidad del Cauca, su conformación y funciones en correspondencia con el Acuerdo Superior 058 de 2018 sobre la Política Ambiental de la Universidad del Cauca.
</t>
    </r>
    <r>
      <rPr>
        <b/>
        <sz val="11"/>
        <rFont val="Arial"/>
        <family val="2"/>
      </rPr>
      <t>Gestión: 100%,</t>
    </r>
    <r>
      <rPr>
        <sz val="11"/>
        <rFont val="Arial"/>
        <family val="2"/>
      </rPr>
      <t xml:space="preserve"> se evidencia la operación del Comité para la toma de decisiones,  y aplicación de acciones tendientes al fortalecimiento de la Gestión Ambiental de la Universidad del Cauca.
</t>
    </r>
    <r>
      <rPr>
        <b/>
        <sz val="11"/>
        <rFont val="Arial"/>
        <family val="2"/>
      </rPr>
      <t>Impacto: 100%,</t>
    </r>
    <r>
      <rPr>
        <sz val="11"/>
        <rFont val="Arial"/>
        <family val="2"/>
      </rPr>
      <t xml:space="preserve"> Se actualizó los integrantes del Comité con Resolución R - 207 del 15/03/2022
Corte I semestre 2024, se valoró nuevamente la efectividad, evidenciando la permanencia de la mejora con ajustes a los linemeamientos internos del Sistema de Gestión Ambiental incluida la definición del Comité, y sus funciones.
</t>
    </r>
  </si>
  <si>
    <r>
      <t xml:space="preserve">Actividad con efectividad de 100%:
</t>
    </r>
    <r>
      <rPr>
        <b/>
        <sz val="11"/>
        <rFont val="Arial"/>
        <family val="2"/>
      </rPr>
      <t>Eficacia y eficiencia: 100%,</t>
    </r>
    <r>
      <rPr>
        <sz val="11"/>
        <rFont val="Arial"/>
        <family val="2"/>
      </rPr>
      <t xml:space="preserve">  se reglamentó el funcionamiento del Comité Técnico de Gestión Ambiental de la Universidad del Cauca, su conformación y funciones en correspondencia con el Acuerdo Superior 058 de 2018 sobre la Política Ambiental de la Universidad del Cauca.
</t>
    </r>
    <r>
      <rPr>
        <b/>
        <sz val="11"/>
        <rFont val="Arial"/>
        <family val="2"/>
      </rPr>
      <t>Gestión: 100%,</t>
    </r>
    <r>
      <rPr>
        <sz val="11"/>
        <rFont val="Arial"/>
        <family val="2"/>
      </rPr>
      <t xml:space="preserve"> se evidencia la operación del Comité para la toma de decisiones,  y aplicación de acciones tendientes al fortalecimiento de la Gestión Ambiental de la Universidad del Cauca.
</t>
    </r>
    <r>
      <rPr>
        <b/>
        <sz val="11"/>
        <rFont val="Arial"/>
        <family val="2"/>
      </rPr>
      <t>Impacto: 100%,</t>
    </r>
    <r>
      <rPr>
        <sz val="11"/>
        <rFont val="Arial"/>
        <family val="2"/>
      </rPr>
      <t xml:space="preserve"> Se actualizó los integrantes del Comité con Resolución R - 207 del 15/03/2022
Corte I semestre 2024, se valoró nuevamente la efectividad, evidenciando la permanencia de la mejora con ajustes a los linemeamientos internos del Sistema de Gestión Ambiental incluida la definición del Comité, y sus funciones.</t>
    </r>
  </si>
  <si>
    <r>
      <t xml:space="preserve">Actividad con efectividad de 100%:
</t>
    </r>
    <r>
      <rPr>
        <b/>
        <sz val="11"/>
        <rFont val="Arial"/>
        <family val="2"/>
      </rPr>
      <t>Eficacia y eficiencia: 100%,</t>
    </r>
    <r>
      <rPr>
        <sz val="11"/>
        <rFont val="Arial"/>
        <family val="2"/>
      </rPr>
      <t xml:space="preserve">  se reglamentó el funcionamiento del Comité Técnico de Gestión Ambiental de la Universidad del Cauca, su conformación y funciones en correspondencia con el Acuerdo Superior 058 de 2018 sobre la Política Ambiental de la Universidad del Cauca.
</t>
    </r>
    <r>
      <rPr>
        <b/>
        <sz val="11"/>
        <rFont val="Arial"/>
        <family val="2"/>
      </rPr>
      <t>Gestión: 100%,</t>
    </r>
    <r>
      <rPr>
        <sz val="11"/>
        <rFont val="Arial"/>
        <family val="2"/>
      </rPr>
      <t xml:space="preserve"> se evidencia la operación del Comité para la toma de decisiones,  y aplicación de acciones tendientes al fortalecimiento de la Gestión Ambiental de la Universidad del Cauca.
</t>
    </r>
    <r>
      <rPr>
        <b/>
        <sz val="11"/>
        <rFont val="Arial"/>
        <family val="2"/>
      </rPr>
      <t>Impacto: 100%,</t>
    </r>
    <r>
      <rPr>
        <sz val="11"/>
        <rFont val="Arial"/>
        <family val="2"/>
      </rPr>
      <t xml:space="preserve"> Se actualizó los integrantes del Comité con Resolución R - 207 del 15/03/2022, y se evidencian actas de reunión del Comité.
Corte I semestre 2024, se valoró nuevamente la efectividad, evidenciando la permanencia de la mejora con ajustes a los linemeamientos internos del Sistema de Gestión Ambiental incluida la definición del Comité,y sus funciones, además de la gestión para la creación del Área de Gestión Ambiental adscrita al Centro de Gestión de la Calidad y Acreditación Institucional.</t>
    </r>
  </si>
  <si>
    <r>
      <t xml:space="preserve">Actividad con efectividad de 100%:
</t>
    </r>
    <r>
      <rPr>
        <b/>
        <sz val="11"/>
        <rFont val="Arial"/>
        <family val="2"/>
      </rPr>
      <t>Eficacia y eficiencia: 100%,</t>
    </r>
    <r>
      <rPr>
        <sz val="11"/>
        <rFont val="Arial"/>
        <family val="2"/>
      </rPr>
      <t xml:space="preserve">  se reglamento el funcionamiento del Comité Técnico de Gestión Ambiental de la Universidad del Cauca, su conformación y funciones en correspondencia con el Acuerdo Superior 058 de 2018 sobre la Política Ambiental de la Universidad del Cauca.
</t>
    </r>
    <r>
      <rPr>
        <b/>
        <sz val="11"/>
        <rFont val="Arial"/>
        <family val="2"/>
      </rPr>
      <t>Gestión: 100%,</t>
    </r>
    <r>
      <rPr>
        <sz val="11"/>
        <rFont val="Arial"/>
        <family val="2"/>
      </rPr>
      <t xml:space="preserve"> se evidencia la operación del Comité para la toma de decisiones,  y aplicación de acciones tendientes al fortalecimiento de la Gestión Ambiental de la Universidad del Cauca.
</t>
    </r>
    <r>
      <rPr>
        <b/>
        <sz val="11"/>
        <rFont val="Arial"/>
        <family val="2"/>
      </rPr>
      <t>Impacto: 100%,</t>
    </r>
    <r>
      <rPr>
        <sz val="11"/>
        <rFont val="Arial"/>
        <family val="2"/>
      </rPr>
      <t xml:space="preserve"> Se actualizó los integrantes del Comité con Resolución R - 207 del 15/03/2022, y se evidencian actas de reunión del Comité.
Corte I semestre 2024, se valoró nuevamente la efectividad, evidenciando la permanencia de la mejora con ajustes a los linemeamientos internos del Sistema de Gestión Ambiental incluida la definición del Comité, y sus funciones, además de la gestión para la creación del Área de Gestión Ambiental adscrita al Centro de Gestión de la Calidad y Acreditación Institucional.</t>
    </r>
  </si>
  <si>
    <r>
      <t xml:space="preserve">Actividad con efectividad de 95%:
</t>
    </r>
    <r>
      <rPr>
        <b/>
        <sz val="11"/>
        <rFont val="Arial"/>
        <family val="2"/>
      </rPr>
      <t xml:space="preserve">Eficacia y eficiencia: 84%, </t>
    </r>
    <r>
      <rPr>
        <sz val="11"/>
        <rFont val="Arial"/>
        <family val="2"/>
      </rPr>
      <t xml:space="preserve">se realizaron los diagnosticos por fuera del tiempo programado
</t>
    </r>
    <r>
      <rPr>
        <b/>
        <sz val="11"/>
        <rFont val="Arial"/>
        <family val="2"/>
      </rPr>
      <t>Gestión: 100%,</t>
    </r>
    <r>
      <rPr>
        <sz val="11"/>
        <rFont val="Arial"/>
        <family val="2"/>
      </rPr>
      <t xml:space="preserve"> los diagnosticos permiten conocer las  actividades que afectan directa e indirectamente el medio ambiente y los recursos naturales, con evaluación de los impactos ambientales significativos. 
</t>
    </r>
    <r>
      <rPr>
        <b/>
        <sz val="11"/>
        <rFont val="Arial"/>
        <family val="2"/>
      </rPr>
      <t>Impacto: 100%</t>
    </r>
    <r>
      <rPr>
        <sz val="11"/>
        <rFont val="Arial"/>
        <family val="2"/>
      </rPr>
      <t>, se continua realizando los diagnosticos, y se evidencia la articulación con trabajos de grado: residuos aprovechables, residuos de podas y cafeterías, georeferenciación de áreas verdes.
Corte I semestre 2024, se valoró nuevamente la efectividad, evidenciando la permanencia de la mejora con la actualización de las matrices de valoración y priorización de los aspectos e impactos ambientales en las diferentes dependencias de la Universidad del Cauca</t>
    </r>
  </si>
  <si>
    <r>
      <t xml:space="preserve">Actividad con efectividad de 95%:
</t>
    </r>
    <r>
      <rPr>
        <b/>
        <sz val="11"/>
        <rFont val="Arial"/>
        <family val="2"/>
      </rPr>
      <t>Eficacia y eficiencia: 84%,</t>
    </r>
    <r>
      <rPr>
        <sz val="11"/>
        <rFont val="Arial"/>
        <family val="2"/>
      </rPr>
      <t xml:space="preserve"> se construyó la matriz de impactos ambientales por fuera del tiempo programado
</t>
    </r>
    <r>
      <rPr>
        <b/>
        <sz val="11"/>
        <rFont val="Arial"/>
        <family val="2"/>
      </rPr>
      <t>Gestión: 100%</t>
    </r>
    <r>
      <rPr>
        <sz val="11"/>
        <rFont val="Arial"/>
        <family val="2"/>
      </rPr>
      <t xml:space="preserve">, La Matriz de impactos ambientales prevé el ciclo de vida con base en la ISO 14001. Se definió por procesos. Su conexión con la política ambiental identifica aquellos aspectos que generen impactos ambientales considerando las líneas estratégicas.
</t>
    </r>
    <r>
      <rPr>
        <b/>
        <sz val="11"/>
        <rFont val="Arial"/>
        <family val="2"/>
      </rPr>
      <t xml:space="preserve">Impacto: 100%, </t>
    </r>
    <r>
      <rPr>
        <sz val="11"/>
        <rFont val="Arial"/>
        <family val="2"/>
      </rPr>
      <t>resultado de los diagnosticos se actualiza la matriz de impactos ambientales.
Corte I semestre 2024, se valoró nuevamente la efectividad, evidenciando la permanencia de la mejora con la actualización de las matrices de valoración y priorización de los aspectos e impactos ambientales en las diferentes dependencias de la Universidad del Cauca</t>
    </r>
  </si>
  <si>
    <r>
      <t xml:space="preserve">Actividad con efectividad de 95%:
</t>
    </r>
    <r>
      <rPr>
        <b/>
        <sz val="11"/>
        <rFont val="Arial"/>
        <family val="2"/>
      </rPr>
      <t>Eficacia y eficiencia: 84%</t>
    </r>
    <r>
      <rPr>
        <sz val="11"/>
        <rFont val="Arial"/>
        <family val="2"/>
      </rPr>
      <t xml:space="preserve">, se identifico aspectos internos y externos que pueden impactar los objetivos propuestos.
</t>
    </r>
    <r>
      <rPr>
        <b/>
        <sz val="11"/>
        <rFont val="Arial"/>
        <family val="2"/>
      </rPr>
      <t>Gestión: 100%</t>
    </r>
    <r>
      <rPr>
        <sz val="11"/>
        <rFont val="Arial"/>
        <family val="2"/>
      </rPr>
      <t xml:space="preserve">, los diagnosticos y matriz de aspectos ambientales definen aspectos internos y externos que afectan los objetivos.
</t>
    </r>
    <r>
      <rPr>
        <b/>
        <sz val="11"/>
        <rFont val="Arial"/>
        <family val="2"/>
      </rPr>
      <t>Impacto: 100%,</t>
    </r>
    <r>
      <rPr>
        <sz val="11"/>
        <rFont val="Arial"/>
        <family val="2"/>
      </rPr>
      <t xml:space="preserve"> resultado de los diagnosticos se socializa los resultados al Comité Técnico de Gestión Ambiental, Acta 2.2-1.56/01 del 21/06/2022 y Acta 2.2-1.56/02 del 28/07/2022 </t>
    </r>
  </si>
  <si>
    <r>
      <rPr>
        <b/>
        <sz val="11"/>
        <rFont val="Arial"/>
        <family val="2"/>
      </rPr>
      <t>Efectividad: 83%
Eficacia y efectividad: 50% 
Gestión y Impacto: 100%</t>
    </r>
    <r>
      <rPr>
        <sz val="11"/>
        <rFont val="Arial"/>
        <family val="2"/>
      </rPr>
      <t>, Se construyó el Plan de Gestión Ambiental de la Universidad del Cauca y se actualizó el Plan de Gestión Integral de Residuos de la Universidad del Cauca. El documento de plan de gestión ambiental define actividades e indicadores para los programas: gestión integral de residuos, educación ambiental, adaptación y mitigación del cambio climático; de otra parte incluye un cronograma de actividades para el Plan de Gestión Ambiental.
El plan de gestión ambiental define criterios para su monitoreo y evaluación, que incluye formulas y responsables para los indicadores definidos, al igual que herramientas de seguimiento mensual5</t>
    </r>
  </si>
  <si>
    <r>
      <rPr>
        <b/>
        <sz val="11"/>
        <rFont val="Arial"/>
        <family val="2"/>
      </rPr>
      <t>Efectividad: 83%
Eficacia y eficiencia: 50%
Gestión y Impacto: 100%</t>
    </r>
    <r>
      <rPr>
        <sz val="11"/>
        <rFont val="Arial"/>
        <family val="2"/>
      </rPr>
      <t>, Para el II semestre 2024, se incluye Propuesta metodológica para la administración de riesgos y oportunidades ambientales, como anexo a la metodología de administración del riesgo de la Universidad del Cauca – MARUC.
El documento RIESGOS CLIMÁTICOS EN EL CONTEXTO UNIVERSITARIO, describe cinco (5) riesgos. además, la herramienta 2.3 Mapeo de Riesgos climaticos Unicauca los asocia a las dependencias Universitarias, con un total de 107 "Riesgos estratégicos" según los denomina la matriz.
La "2.4 Matriz Riesgos y Oportunidades Ambientales" presenta la gestión para el riesgo "Inadecuada gestión de residuos sólidos y líquidos (Aspectos ambientales: generación de residuos sólidos peligrosos; generación de residuos sólidos no peligrosos)" en nivel "Alto".
La OCI recomienda realizar los monitoreos correspondientes a fin de controlar su materialización y presentar su aprobación ante la Oficina de Planeación y Desarrollo Institucional.</t>
    </r>
  </si>
  <si>
    <r>
      <rPr>
        <b/>
        <sz val="11"/>
        <rFont val="Arial"/>
        <family val="2"/>
      </rPr>
      <t>Efectividad: 83%
Eficacia y eficiencia: 50%
Gestión y Impacto: 100%</t>
    </r>
    <r>
      <rPr>
        <sz val="11"/>
        <rFont val="Arial"/>
        <family val="2"/>
      </rPr>
      <t>, El documento RIESGOS CLIMÁTICOS EN EL CONTEXTO UNIVERSITARIO, describe cinco (5) riesgos. además la herramienta 2.3 Mapeo de Riesgos climaticos Unicauca los asocia a las dependencias Universitarias, con un total de 107 "Riesgos estratégicos" según los denomina la matriz.
La "2.4 Matriz Riesgos y Oportunidades Ambientales" presenta la gestión para el riesgo "Inadecuada gestión de residuos sólidos y líquidos (Aspectos ambientales: generación de residuos sólidos peligrosos; generación de residuos sólidos no peligrosos)" en nivel "Alto".
La OCI recomienda realizar los monitoreos correspondientes a fin de controlar su materialización y presentar su aprobación ante la Oficina de Planeación y Desarrollo Institucional.</t>
    </r>
  </si>
  <si>
    <r>
      <rPr>
        <b/>
        <sz val="11"/>
        <rFont val="Arial"/>
        <family val="2"/>
      </rPr>
      <t>Efectividad: 98%
Eficacia y eficiencia: 94%</t>
    </r>
    <r>
      <rPr>
        <sz val="11"/>
        <rFont val="Arial"/>
        <family val="2"/>
      </rPr>
      <t xml:space="preserve">, Se estructuró Plan de Acción con 16 actividades a partir de las líneas estrategicas de la Política de Gestión Ambiental.
</t>
    </r>
    <r>
      <rPr>
        <b/>
        <sz val="11"/>
        <rFont val="Arial"/>
        <family val="2"/>
      </rPr>
      <t>Gestión y Impacto 100%,</t>
    </r>
    <r>
      <rPr>
        <sz val="11"/>
        <rFont val="Arial"/>
        <family val="2"/>
      </rPr>
      <t xml:space="preserve"> Se adelantaron las actividades y acciones en cumplimiento del plan de Gestión Ambiental para fortalecer el Plan de Desarrollo Institucional 2023-2027
El documento de Plan de Gestión Ambiental de la Universidad del Cauca incluye objetivo  y alcance se definen planes de acción anuales para las metas del Plan de Desarrollo Institucional</t>
    </r>
  </si>
  <si>
    <r>
      <rPr>
        <b/>
        <sz val="11"/>
        <rFont val="Arial"/>
        <family val="2"/>
      </rPr>
      <t>Efectividad: 85%
Eficacia y eficiencia: 94%</t>
    </r>
    <r>
      <rPr>
        <sz val="11"/>
        <rFont val="Arial"/>
        <family val="2"/>
      </rPr>
      <t xml:space="preserve">, Se definicieron indicadores para el plan de Gestión ambiental y el proyecto a incluir en el Plan de Desarrollo 2023-2027
</t>
    </r>
    <r>
      <rPr>
        <b/>
        <sz val="11"/>
        <rFont val="Arial"/>
        <family val="2"/>
      </rPr>
      <t>Gestión y Impacto 80%</t>
    </r>
    <r>
      <rPr>
        <sz val="11"/>
        <rFont val="Arial"/>
        <family val="2"/>
      </rPr>
      <t>, El documento de plan de gestión ambiental define actividades e indicadores para los programas: gestión integral de residuos, educación ambiental, adaptación y mitigación del cambio climático; de otra parte incluye un cronograma de actividades para el Plan de Gestión Ambiental.
El plan de gestión ambiental define criterios para su monitoreo y evaluación, que incluye formulas y responsables para los indicadores definidos. Incluye herramienta de seguimiento mensual.
Se presentó bateria de indicadores ambianteles, 13 indicadores, que incluye la fórmula y responsable y se aprobó por el Comité Técnico de Gestión Ambiental. Se debe revisar la pertinencia de elevar la aprobación por el Consejo Superior.</t>
    </r>
  </si>
  <si>
    <r>
      <rPr>
        <b/>
        <sz val="11"/>
        <rFont val="Arial"/>
        <family val="2"/>
      </rPr>
      <t>Efectividad: 70%
Eficacia y Eficiencia: 50%</t>
    </r>
    <r>
      <rPr>
        <sz val="11"/>
        <rFont val="Arial"/>
        <family val="2"/>
      </rPr>
      <t xml:space="preserve">, Se definió Plan de Acción fuera del tiempo programado.
</t>
    </r>
    <r>
      <rPr>
        <b/>
        <sz val="11"/>
        <rFont val="Arial"/>
        <family val="2"/>
      </rPr>
      <t>Gestión y Impacto: 80%</t>
    </r>
    <r>
      <rPr>
        <sz val="11"/>
        <rFont val="Arial"/>
        <family val="2"/>
      </rPr>
      <t xml:space="preserve">, El plan de gestión ambiental define criterios para su monitoreo y evaluación, que incluye formulas y responsables para los indicadores definidos. Incluye herramienta de seguimiento mensual.
Se recomienda preparar la herramienta para el seguimiento al Plan de Gestión Ambiental.
</t>
    </r>
  </si>
  <si>
    <r>
      <t xml:space="preserve">Actividad con efectividad de 90%:
</t>
    </r>
    <r>
      <rPr>
        <b/>
        <sz val="11"/>
        <rFont val="Arial"/>
        <family val="2"/>
      </rPr>
      <t>Eficacia y eficiencia: 75%</t>
    </r>
    <r>
      <rPr>
        <sz val="11"/>
        <rFont val="Arial"/>
        <family val="2"/>
      </rPr>
      <t xml:space="preserve">, se proyecto recursos para vigencia 2022.
</t>
    </r>
    <r>
      <rPr>
        <b/>
        <sz val="11"/>
        <rFont val="Arial"/>
        <family val="2"/>
      </rPr>
      <t xml:space="preserve">Gestión: 100%, </t>
    </r>
    <r>
      <rPr>
        <sz val="11"/>
        <rFont val="Arial"/>
        <family val="2"/>
      </rPr>
      <t xml:space="preserve">Documentos del proyecto “Fortalecimiento del Sistema de Gestión Ambiental de la Universidad del Cauca” a incluir al Plan de Desarrollo Institucional 2023 – 2027. Se presentó ante la Oficina de Planeación y Desarrollo Institucional para su viabilidad, con este proyecto se plantea operativizar cada una de las líneas estratégicas de la Política Ambiental Institucional
</t>
    </r>
    <r>
      <rPr>
        <b/>
        <sz val="11"/>
        <rFont val="Arial"/>
        <family val="2"/>
      </rPr>
      <t>Impacto: 75%</t>
    </r>
    <r>
      <rPr>
        <sz val="11"/>
        <rFont val="Arial"/>
        <family val="2"/>
      </rPr>
      <t>, El proyecto a incluir en Plan de Desarrollo Institucional se encuentra pendiente viabilización y aprobación</t>
    </r>
  </si>
  <si>
    <r>
      <t xml:space="preserve">Actividad con efectividad de 90%:
</t>
    </r>
    <r>
      <rPr>
        <b/>
        <sz val="11"/>
        <rFont val="Arial"/>
        <family val="2"/>
      </rPr>
      <t>Eficacia y eficiencia: 95%</t>
    </r>
    <r>
      <rPr>
        <sz val="11"/>
        <rFont val="Arial"/>
        <family val="2"/>
      </rPr>
      <t xml:space="preserve">, se proyecto recursos para vigencia 2022.
</t>
    </r>
    <r>
      <rPr>
        <b/>
        <sz val="11"/>
        <rFont val="Arial"/>
        <family val="2"/>
      </rPr>
      <t xml:space="preserve">Gestión: 100%, </t>
    </r>
    <r>
      <rPr>
        <sz val="11"/>
        <rFont val="Arial"/>
        <family val="2"/>
      </rPr>
      <t xml:space="preserve">Se cuenta con la programacicón de presupuesto para la operación de la Política de Gestión Ambiental de la Universidad del Cauca. 
</t>
    </r>
    <r>
      <rPr>
        <b/>
        <sz val="11"/>
        <rFont val="Arial"/>
        <family val="2"/>
      </rPr>
      <t>Impacto: 75%</t>
    </r>
    <r>
      <rPr>
        <sz val="11"/>
        <rFont val="Arial"/>
        <family val="2"/>
      </rPr>
      <t>, El proyecto a incluir en Plan de Desarrollo Institucional - 2023 - 2027 define presupuesto para las vigencias 2023-2027. Pendiente viabilización y aprobación</t>
    </r>
  </si>
  <si>
    <r>
      <t xml:space="preserve">Actividad con efectividad del 100%
</t>
    </r>
    <r>
      <rPr>
        <b/>
        <sz val="11"/>
        <rFont val="Arial"/>
        <family val="2"/>
      </rPr>
      <t>Eficacia y eficiencia: 100%</t>
    </r>
    <r>
      <rPr>
        <sz val="11"/>
        <rFont val="Arial"/>
        <family val="2"/>
      </rPr>
      <t xml:space="preserve">, se socializó la Politica de Gestión con las líneas estratégicas.
</t>
    </r>
    <r>
      <rPr>
        <b/>
        <sz val="11"/>
        <rFont val="Arial"/>
        <family val="2"/>
      </rPr>
      <t>Gestión: 100%</t>
    </r>
    <r>
      <rPr>
        <sz val="11"/>
        <rFont val="Arial"/>
        <family val="2"/>
      </rPr>
      <t xml:space="preserve">, la socialización de la Política permite interiorizar los objetivos y lineas estratégicas  a la comunidad universitaria. 
</t>
    </r>
    <r>
      <rPr>
        <b/>
        <sz val="11"/>
        <rFont val="Arial"/>
        <family val="2"/>
      </rPr>
      <t>Impacto: 100%</t>
    </r>
    <r>
      <rPr>
        <sz val="11"/>
        <rFont val="Arial"/>
        <family val="2"/>
      </rPr>
      <t>, Se continua socializando la Política con infografias y presentaciones. Plan de Gestión Ambiental incluye temáticas.</t>
    </r>
  </si>
  <si>
    <r>
      <rPr>
        <b/>
        <sz val="11"/>
        <rFont val="Arial"/>
        <family val="2"/>
      </rPr>
      <t>Efectividad 83%
Eficacia y Eficiencia: 50%</t>
    </r>
    <r>
      <rPr>
        <sz val="11"/>
        <rFont val="Arial"/>
        <family val="2"/>
      </rPr>
      <t xml:space="preserve"> se definieron estrategias por fuera del tiempo programado.
</t>
    </r>
    <r>
      <rPr>
        <b/>
        <sz val="11"/>
        <rFont val="Arial"/>
        <family val="2"/>
      </rPr>
      <t>Gestión y Impacto 100%</t>
    </r>
    <r>
      <rPr>
        <sz val="11"/>
        <rFont val="Arial"/>
        <family val="2"/>
      </rPr>
      <t xml:space="preserve">, Se definen los lineamientos de los indicadores, la implementación, monitoreo y metodología de evaluación en el Plan de Gestión Ambiental.
</t>
    </r>
  </si>
  <si>
    <r>
      <rPr>
        <b/>
        <sz val="11"/>
        <rFont val="Arial"/>
        <family val="2"/>
      </rPr>
      <t xml:space="preserve">Efectividad: 83%
Eficacia y efectividad: 50% 
Gestión y Impacto 100%, </t>
    </r>
    <r>
      <rPr>
        <sz val="11"/>
        <rFont val="Arial"/>
        <family val="2"/>
      </rPr>
      <t xml:space="preserve"> Se establecen los mecanismos de evaluaciones, controles y herramientas seguimiento de acuerdo a la valoración de la Matriz de Aspectos e Impactos Ambientales y se cuenta con un diagnóstico de la Gestión Integral de Residuos de la Institución, igualmente, se adelanta el proyecto para el desarrollo del sotfware del Sistema de Gestión Ambiental  
Se recomienda aplicar las directrices definidas el el documento de Plan de Gestión Ambiental para el monitoreo y seguimiento.</t>
    </r>
  </si>
  <si>
    <r>
      <rPr>
        <b/>
        <sz val="11"/>
        <rFont val="Arial"/>
        <family val="2"/>
      </rPr>
      <t xml:space="preserve">Efectividad: 83%
Eficacia y efectividad: 50% 
Gestión y Impacto: 100%, </t>
    </r>
    <r>
      <rPr>
        <sz val="11"/>
        <rFont val="Arial"/>
        <family val="2"/>
      </rPr>
      <t>Se aprueba el Plan de Gestrión Ambiental por parte del Comité de Gestión Ambiental.
Se recomienda aplicar las directrices definidas el el documento de Plan de Gestión Ambiental para el monitoreo y seguimiento y documentar apropiadamente las decisiones que correspondan.</t>
    </r>
  </si>
  <si>
    <t xml:space="preserve">El Plan se reformuló en agosto del 2021, debido a que corresponde a una evaluacion anual.
El plan se encuentra pospuesto hasta obtener los resultados de la evaluación a la vigencia 2024. </t>
  </si>
  <si>
    <t xml:space="preserve">Se remite evidencia sobre la propuesta de modificar los valores de inscripción a Posgrado, cuyo estudio surte trámite ante la Oficina de Planeación y Desarrollo Institucional para efecto de la viabilidad financiera. No obstante a lo anterior, la OCI se abstiene de otorgar avance dada la actividad y unidad de medida establecida para la mejora que refiere a políticas. 
Actividad reformulada como consta en acta de seguimiento 2.6-3.49/04 del 31/07/2024, con alcance a las gestiones para la modificación de los valores de derechos pecuniarios.
Se asinga a avance de 100%
</t>
  </si>
  <si>
    <t xml:space="preserve">
Mediante correo electronico del 30/01/2025 el Centro de posgrados reportó: la actualización del procedimiento Verificación Trámite de Beca en Programas de Posgrado, PM-FO-4.4-PR-6 del 24-01-2024, 
Sin veriifcar su efectividad por cuanto no se presentaron evidencias que de cuenta de la aplicación de los procedimientos.
Se debe verificar la implementación de los procedimientos.
</t>
  </si>
  <si>
    <t>El Plan se encuentra en reformulación, revisión por la OCI.</t>
  </si>
  <si>
    <t>Mediante correo electronico del 30/01/2025 el Centro de posgrados reportó:
Resolución 8.8.3-4.4/363 de 20 de agosto de 2024 Facultad de Ciencias Contables, Económicas y Administrativas.
Propuesta Reglamento Estudiantil - Acuerdo  Por el cual se expide el Reglamento Estudiantil para estudiantes de posgrado de la Universidad del Cauca.
Presentación en diapositivas respecto a Plan Coterminal 
Por lo anterior se evidencian gestiones tendientes a reglamentar el funcionamiento de los programas de posgrado. de otra parte, no se reportó información del estado de las gestiones reportadas en el I semestre de 2024 en lo relativo a: la reglamentación de los requisitos de grado (Acuerdo Académico 022/20213), PROPUESTA ACUERDO ACADÉMICO REGLAMENTACIÓN PFI REQUISITO DE GRADO.
Por lo anterior se concluye:
Promedio de eficacia y eficiencia de 95%
Gestión: 20% por cuanto aun no se evidencia todos los soportes de los lineamientos internos que regulen los programas de posgrados.
Impacto: 20% por cuanto no es posible verificar si se cuenta con lineamientos suficientes para la operación de los programas de posgrados.
Efectividad de 45%: se debe verificar los lineamientos internos existentes y su impacto en la operación de los programas de posgrado, entre ellos el Acuerdo Superior 014 de 2024</t>
  </si>
  <si>
    <t xml:space="preserve">
Seguimiento 2024- I: No se presentaron evidencias. 
Seguimiento 2024 - II:
Con Oficio 5.1-55.6/080 del 31/01/2025, la División de Gestión del Talento Humano remitió la matriz de seguimiento de la OCI en la que manifestó que no contó con apoyo jurídico para el ultimo trimestre 2024.
En reuniónde seguimiento realizada el día 06-02-2025, se solicita desde la División de TH, según consta en acta No 2.6-3.49/03 del 06/02/2025</t>
  </si>
  <si>
    <t>Seguimiento 2024- I: 
No se presentan avances diferentes a los plasmados en el II semestre 2023.
Se mantiene el porcentaje de avance .
Se ha presentado cambio en el contratista que estaba apoyando esta actividad, por tal razón se solicitará acompañamiento de la oficina juridica de la Universidad para poder abordar este tema y poder atender los requerimientos de los hallazgos.
Avance sujeto a la modificación de los Acuerdos 006 y 007 del 2006 de la Universidad del Cauca, con base en el hallazgo 
Seguimiento 2024- II:
No se registra avances en esta acción, para lo cuál, la División de Gestión del Talentto Humano justifica que durante el último trimestre de 2024 no se dispuso del contrato de un Abogado para apoyar los procesos jurídicos y normativos en la dependencia, manteniendo el 30% de avance. 
Su finalización depende del ajuste de las normas relativas a la Gestión del Talento Humano, como los Acuerdos 006 y 007 del 2006.</t>
  </si>
  <si>
    <t> Seguimiento 2024- I: No se presentaron evidencias. 
Seguimiento 2024 - II:
Con Oficio 5.1-55.6/080 del 31/01/2025, la División de Gestión del Talento Humano remitió la matriz de seguimiento de la OCI en la que manifestó que no contó con apoyo jurídico para el ultimo trimestre 2024.
En reuniónde seguimiento realizada el día 06-02-2025, se solicita desde la División de TH, según consta en acta No 2.6-3.49/03 del 06/02/2025</t>
  </si>
  <si>
    <t>Seguimiento 2024- I: 
No se presentan avances diferentes a los plasmados en el II semestre 2023.
Se mantiene el porcentaje de avance 
Avence sujeto a la Modificación del Acuerdo 085 del 2008, relacionado con estímulos para administrativos
Seguimiento 2024- II:
No se registra avances en esta acción, para lo cuál, la División de Gestión del Talentto Humano justifica que durante el último trimestre de 2024 no se dispuso del contrato de un Abogado para apoyar los procesos jurídicos y normativos en la dependencia, manteniendo el 30% de avance. 
En reunión de seguimiento realizada el día 06-02-2025, se solicita ampliación del plazo para el cierre de la actividad, como consta en acta No 2.6-3.49/03 de la misma fecha.
Su finalización depende del ajuste de las normas relativas a los planes de bienestar e incentivos, Acuerdo 085 del 2008.</t>
  </si>
  <si>
    <t>Seguimiento 2024- I: 
Con oficio 5.1-55.6/714 del 17/07/2024 la División de Gestión del Talento Humano remitió los borradores de los procedimeintos ajustados: PA-GA-5.1-PR-11, PA-GA-5.1-PR-14,  PA-GA-5.1-PR-16, PA-GA-5.1-PR-17
Seguimiento 2024 - II:
Con Oficio 5.1-55.6/080 del 31/01/2025, la División de Gestión del Talento Humano remitió la matriz de seguimiento de la OCI en la que manifestó que no se realizó la actualización de los procedimientos. 
En reuniónde seguimiento realizada el día 06-02-2025, se solicita desde la División de TH, según consta en acta No 2.6-3.49/03 del 06/02/2025</t>
  </si>
  <si>
    <t>Seguimiento 2024- I: 
La División de Talento Humano actualiza los procedimientos : PA-GA-5.1-PR-11 "Induccción y Reinducción Conoce tu Universsidad; PA-GA-5.1-PR-14 "Bienestar Laboral e Incentivos;  PA-GA-5.1-PR-16 "Evaluación del desempeño de empleado de carrera administrativa; PA-GA-5.1-PR-17 "Actualización y cobro de cuotas partes pensiones a favor, en el mes de mayo de 2024, sin embargo no se registra en el Centro de Calidad que dichos procedimientos estén para revisión y posterior publicación en LVMEN, tampoco se evidencia que se haya acogido el modelado BPMN - implementación de servicios de infraestructura de red
Se mantiene el porcentaje del seguimiente anterior, la OCI hace el llamado a que se haga el traslado de dichos documentos al Centro de Calidad para su revisión y posterior publicación.
Seguimiento 2024 - II:
Se mantiene el porcentaje del seguimiente anterior, la División de TH indica que no se registra la actualización toda vez que van implementar el modelado BPMN - implementación de servicios de infraestructura y luego se hará el traslado de dichos documentos al Centro de Calidad para su revisión y posterior publicación.
En reunión de seguimiento realizada el día 06-02-2025, se solicita ampliación del plazo para el cierre de la actividad, como consta en acta No 2.6-3.49/03 de la misma fecha.</t>
  </si>
  <si>
    <t>Seguimiento 2024- I: 
En visita realizada por la OCI el 29/08/2024 a la División de Gestión del Talento Humano, como consta en acta 2.6-3.49/10, se entregó Circular informativa 5.1-22.2001 drl 2024.
Seguimiento 2024 - II:
Con Oficio 5.1-55.6/080 del 31/01/2025, la División de Gestión del Talento Humano remitió: 
Pantallazo que evidencia el correo donde se requiere a todos los funcionarios Administrativos que registran hora cátedra según el Grupo de Compensación y Nómina.</t>
  </si>
  <si>
    <t xml:space="preserve">Seguimiento 2024- I: 
Se pudo determinar que no se reporta de manera oportuna por las dependencias el formato debidamente diligenciado PA-GA-5.1-FOR 57 permiso de funcionarios Administrativos para ejercer la docencia, lo que genera que el consolidado que tiene la dependencia de Talento Humano no esté actualizado y acorde con la realidad, el reporte tiene 4 docentes administrativos y la realidad es que son 21 administrativos que ejercen docencia.
La Universidad elaboró circular informativa No. 5,1-22/001 del 15 de febrero de 2024 cuyo asunto es diligenciamiento del formato de uso institucional permiso funcionarios administrativos para ejercer la docencia universitaria .
Se hace el llamado a que se trabaje conjuntamente con los responsables de nómina para que la información sea precisa y acorde a la realidad de las novedades que se manejan en la dependencia.
Pendiente el reporte de la relación de servidores que orientan cátedra y el control aplicado entre ellos el formato PA-GA-5.1-FOR-57 Permiso a Funcionarios Administrativos para ejercer la Docencia V2
Seguimiento 2024- II: 
La OCI observó que la División de TH lleva control en excel con los nombres de los administrativos que tienen autorización para ejecutar hora catedra, ademas se emitió Circular Informativa de la División sobre
docencia de administrativos para el Primer Periodo Académico del 2025, además, se evidencia el diligenciamiento del formato “Permiso de Funcionarios Administrativos para Ejercer la Docencia Universitaria
PA-GA-5.1-FOR-57 con sus correspondientes visados, por lo que el avance pasa del 90% al 100%. </t>
  </si>
  <si>
    <t>I semestre 2024:
Con oficio 5.1-55.6/714 del 17/07/2024 la División de Gestión del Talento Humano remitió remitió:
Control de asistencia, registro fotográfico y hoja de presentación
Seguimiento 2024 - II:
Con Oficio 5.1-55.6/080 del 31/01/2025, la División de Gestión del Talento Humano remitió: 
pantallazo de inducción y reinducción</t>
  </si>
  <si>
    <t xml:space="preserve">I semestre 2024:
Se presenta evidencia del proceso de inducción para el primer semestre en el mes de marzo al personal administrativo y docente de la Sede Norte ubicada en Santander de Quilichao .
La OCI, indica la necesidad de relacionar en las inducciones realizadas a las personas vinculadas en el 1 semestre, las cuales se hacen de manera individual según lo expresa la profesional de apoyo Adriana Benavidez, ademas indicar si se suscribio el compromiso de confidencialidad del personal nuevo.
La División de Gestión del Talento Humano manifiesta que para el segundo semestre de 2024 se han establecido las reinducciones para la facultad de Ingenieria, contando con la temática de dicho proceso, la OCI solicita se incluya a esta dependencia con el propósito de fortalcer el Sistema de Control Interno desde sus diferentes roles.
El avance pasa del 80% al 85%, pendiente verificar los registros de las inducciones del personal vinculado en el I semestre del 2024, y los compromisos de confidencialidad, así como verificar los registros de las reinducciones programadas en la Facultad de Ingeniería para el 2024-II, y revisar los procedimientos de empalme del personal que se vincula en los cargos
Seguimiento 2024- II: 
Se evidencia registro de inducción de servidores, y listado de asistencia de proceso de reinducción al area de seguridad, control y movilidad.
Se insta a llevar un control del personal que ingresa semestralmente que permita identificar mas agilmente el numero de personas  al que se le realizó el proceso de inducción, la actividad pasa al 90% de avance. </t>
  </si>
  <si>
    <t>  Seguimiento 2024- I: No se presentaron evidencias. 
Seguimiento 2024 - II:
Con Oficio 5.1-55.6/080 del 31/01/2025, la División de Gestión del Talento Humano remitió la matriz de seguimiento de la OCI en la que manifestó que se solicitó el concepto correspondiente a la oficina Jurídica, y hasta que no se reciba dicha respuesta, no se procederá a iniciar el proceso, y se remite: 
pantallazo de oficio presentado a Oficina Jurídica</t>
  </si>
  <si>
    <t xml:space="preserve">I semestre 2024: 
Actualmente, se tiene un proyecto (documento ténico) de evaluación, el que se esta trabajando con juridica y control interno disciplinario.
Es importante indicar que  las entidades podrán evaluar a los provisionales a través de instrumentos específicos  diseñados por la entidad para tal fin, o podrá emplear formatos similares a los que utiliza  para la evaluación de los empleados de carrera, en período de prueba o de libre  nombramiento y remoción.
Esta evaluación debe generarse como política institucional,  dentro de un marco de apoyo y seguimiento a la gestión de la entidad, para lo cual deberá  señalarse de manera expresa que la misma no genera derechos de carrera ni los  privilegios que la ley establece para los servidores que ostentan esta condición, ni el  acceso a los incentivos previstos en la entidad para los empleados de carrera  administrativa. 
El % se mantiene en 0, hasta tanto se cuente con el concepto juridico de viabilidad y el proyecto técnico de evaluación aprobado, socializado e implementado
El avance se sujeta a la presentación de un informe técnico que contenga la revisión normativa y teórica en temas de evaluación de desempeño laboral para empleados públicos en provisionalidad
Seguimiento 2024-II: 
No se ha generado el estudio normativo y teórico en temas de evaluación de desempeño laboral para provisionales.
Se evidencia solicitud de concepto a la oficina jurídica con radicado No. 5.1-55.6/718 del 18/07/2024; sobre la viabilidad de implementar un proceso de seguimiento a los cargos provisionales, sin respuesta hasta la fecha de seguimiento.
Actividad sin avance. </t>
  </si>
  <si>
    <t>I semestre 2024:
Con oficio 5.1.4-55.6/215 del 19/06/2024, el Área de Seguridad y Salud en el Trabajo remitió: 
Resolución Nro. R-0886 01-09-2023 conformación del cómite, para  el estudio de la necesidades de la planta temporal.
II semestre 2024: 
El Área de Seguridad y Salud en el Trabajo con oficio 5.1.4-27.34/012 del 29/01/2025 remitió: 
Oficios 5.1.4-55.6/241 del 28/082024 y 5.1-55.6/1031 del 15 de octubre de 2024</t>
  </si>
  <si>
    <t>I semestre 2024:
Sin embargo la Universidad mediante Resolución 0886 del 01 de septiembre de 2023, conforma el Comité Técnico de Apoyo para el proceso del estudio de necesidades de puestos de trabajo en la planta administrativa de la Universidad.
En dicho Comité se apoyará el proceso de estudio de necesidades de puestos de trabajo.
El avance está supeditado al ajuste en la estructura del área de SST en el manual de funciones y competencias laborales  
Seguimiento 2024 - II: 
Se evidencia gestión por la profesional universitaria responsable del SST ante la División de Talento Humano para que en el Comité técnico de apoyo "estudios de necesidades de puestos de trabajo en la planta administrativa", se tenga en cuenta la necesidad de ajustar los grados y correcta aplicación de la cadena de mando, sin embargo desde el citado Comité no se ha consolidado la entrega del estudio de formalización, que permita avanzar en el ajuste en el manual de funciones y competencias laborales de la Universidad, especificamente area de SST.
La profesional encargada del SST, mediante oficio  5.1.4-55.6/026
del 6-02-25, solicita reformular la actividad de este hallazgo toda vez que no depende de ella cumplir con la misma, para poder involucrar a las depedencias encargadas que son División Talento Humano y Oficina Jurídica</t>
  </si>
  <si>
    <t xml:space="preserve">IIsemestre 2024: 
Según la Resolucion R-0829 del 06/08/24 se designaron a los representantes del señor Rector (4) principales con sus suplentes al COPAST para el periodo 6/08/2024 al 05/08/2026.
Según Resolución R-1308 del 29/10/24 en su artículo segundo se declara la elección de los representantes principales (4) ante el COPAST en representación de los empleados públicos (profesores de planta y administrativos) y trabajadores oficiales . En su artículo tercero se declara la elección de los representantes suplentes (2) en representación de los empleados públicos (profesores de planta y administrativos) y trabajadores oficiales para el periodo 29-10-224 al 28-10-26.
Queda pendiente los 2 representantes suplentes en representación de los empleados públicos (profesores de planta y administrativos) y trabajadores oficiales, lo cual según informa la responsable del SST se tiene programada para finales del mes de febrero 2025.
La profesional encargada del SST, mediante oficio  5.1.4-55.6/026
del 6-02-25, solicita ampliación en el plazo hasta el 30 de junio de 2025
El avance pasó del 20% al 80%, el porcentaje restante está sujeto a la designación de dos (2) representantes suplentes del COPAST. </t>
  </si>
  <si>
    <t>I semestre 2024:
Con oficio 5.1.4-55.6/215 del 19/06/2024, el Área de Seguridad y Salud en el Trabajo remitió: 
Cronograma de capacitación 2024
II semestre 2024: 
Con oficio 5.1.4-27.34/012 del 29/01/2025, el Área de Seguridad y Salud en el Trabajo remitió: 
Registros de asistencia a capacitaciones de fecha: 18/09/2024, 09/10/2024,11/12/2024 y 22/01/2025</t>
  </si>
  <si>
    <t>I semestre 2024:
En el plan de capacitación del área de SST para la vigencia 2024 se observan temas enfocados al COPASST, programadas para el segundo semestre de esta vigencia,  sin embargo el avance no alcanza el 100% toda vez que queda sujeto a la que se conforme el Comité y reciba las capacitaciones, las cuales están contempladas para el segundo semestre 2024. 
Avance pasa del 30% al 50%
El avance se sujeta a la inclusión de las actividades enfocadas al COPASST en el Plan de Capacitaciones Institucional, su aprobación e implementación, en la que se evidencie la certificación.
II semestre 2024: 
Se evidencia capacitación con la asistencia de los integrantes del COPAST, realizadas los días 18-09-2024, 09-10-2024, 11-12-202422-01-2025.
Pendiente la elección de los 2 representantes suplentes para realizar el ciclo de capacitación a todos los integrantes. Al momento del seguimiento esta en construcción el programa de capacitaciones para la vigencia 2025. 
El avance pasa del 50% al 85%</t>
  </si>
  <si>
    <t xml:space="preserve">
I semestre 2024:
Con oficio 5.1.4-55.6/215 del 19/06/2024, el Área de Seguridad y Salud en el Trabajo remitió: 
Documento con el calculo de indicadores para los objetivos. 
II semestre 2024: 
Con oficio 5.1.4-27.34/012 del 29/01/2025, el Área de Seguridad y Salud en el Trabajo remitió: 
Archivos de las fichas tecnicas de los indicadores </t>
  </si>
  <si>
    <t xml:space="preserve">I semestre 2024: 
Se evidencia que se establecen los 8 indicadores para los objetivos del SST, sin embargo  los mismos no se acogen a la nueva normativa que expidio la Universidad según la Resolución Rectoral 0346 de 2024 mediante la cual se adopta la guia metodológica para la gestión de Indicadores de la Universidad del Cauca 
Pasa del 50% l 70%
Pendiente la formalización o aprobación de los indicadores de medición de objetivos definidos, y los resultados de la implementación
II semestre 2024:
Se evidencia que los 9 indicadores están estructurados con la nueva guia metodológica para la gestión de indicadores de la Universidad, sin embargo no se evidencia la implementación con la lectura de los resultados para la vigencia 2024. La profesional encargada del SST, mediante oficio  5.1.4-55.6/026 del 6-02-25, solicita ampliación en el plazo hasta el 30 de junio de 2025. 
La actividad pasa del 70% al 85%. </t>
  </si>
  <si>
    <t xml:space="preserve">
I semestre 2024:
Con oficio 5.1.4-55.6/215 del 19/06/2024, el Área de Seguridad y Salud en el Trabajo remitió: 
* Registro fotográifico ubicación topografica HCO,  personal de apoyo y carpeta de gestion
* Oficio 2.11-52.5/257 de la secretaria General 
* TRD del A SST
* Informe de verificacion Archivo 
II semestre 2024: 
Con oficio 5.1.4-27.34/012 del 29/01/2025, el Área de Seguridad y Salud en el Trabajo remitió matriz de seguimiento de planes diligenciada. </t>
  </si>
  <si>
    <t xml:space="preserve">
I semestre 2024:
Con oficio 5.1.4-55.6/215 del 19/06/2024, el Área de Seguridad y Salud en el Trabajo remitió: 
Informe de rendición de cuentas enviado al Señor Rector y a la Vicerrectoría administrativa quien consolidó la información para la rendición de cuentas.
II semestre 2024: 
Con oficio 5.1.4-27.34/012 del 29/01/2025, el Área de Seguridad y Salud en el Trabajo remitió: 
 informe de rendicion de cuentas 2024</t>
  </si>
  <si>
    <t>I semestre 2024:
Con oficio 5.1.4-55.6/215 del 19/06/2024, el Área de Seguridad y Salud en el Trabajo remitió: 
* Registro fotográifico ubicación topografica HCO,  personal de apoyo y carpeta de gestion
* Oficio 2.11-52.5/257 de la secretaria General 
* TRD del A SST
* Informe de verificacion Archivo 
II semestre 2024: 
Con oficio 5.1.4-27.34/012 del 29/01/2025, el Área de Seguridad y Salud en el Trabajo remitió matriz de seguimiento de planes diligenciada. 
La OCI realiza visita como consta en Acta 2.6-3.49/02 del 06/02/2025</t>
  </si>
  <si>
    <t>I semestre 2024:
Con oficio 5.1.4-55.6/215 del 19/06/2024, el Área de Seguridad y Salud en el Trabajo remitió: 
* matrices de peligros
* Registro asistencia socializacion programa de peligro quimico 
II semestre 2024: 
Con oficio 5.1.4-27.34/012 del 29/01/2025, el Área de Seguridad y Salud en el Trabajo remitió link https://drive.google.com/drive/u/1/folders/1FitTdDAlXUAheF4TS-KOt1s-8Xw_yRG5</t>
  </si>
  <si>
    <t>I semestre 2024: 
Se evidencia actualización de la matriz  de identificación de peligros y valoración de los riesgos en SST para los laboratorios, según V2 del 24 de enero de 2024 , referente a la estructuración del programa de peligro químico al igual que listado de asistencia sobre socialización del mismo con los involucrados.
Avance pasa de 50% a 90%
II semestre 2024:
Se logra evidenciar la construción de las matrices de identificación de peligros y valoración de los riesgos en SST para las sedes administrativas, dentro de las cuales se incluyen los laboratorios . La profesional encargada del SST, solicitará ampliación el plazo para poder entregar la información en el seguimiento y cumplimiento de las acciones alli detalladas para el seguimiento 2025-1
Se mantiene avance del 90%.</t>
  </si>
  <si>
    <t>I semestre 2024:
Con oficio 5.1.4-55.6/215 del 19/06/2024, el Área de Seguridad y Salud en el Trabajo remitió: 
Ordenes de compra 20230377 y 20230300,
Certificados medicos para trabajo en alturas.
Registro de asistencia a capacitacion uso de andamio. 
Registro fotografico puntos de anclaje nuevo edificio de aulas 
II semestre 2024: 
Con oficio 5.1.4-27.34/012 del 29/01/2025, el Área de Seguridad y Salud en el Trabajo remitió
Orden de compra 20240424
registros de asistencia a curso de trabajar autorizado y de capacitacion en andamios y escaleras</t>
  </si>
  <si>
    <t xml:space="preserve">I semestre 2024: 
Se evidencia en el primer semestre 2024 en el siguiente  enlace: https://1drv.ms/f/c/81442a3ea67863b3/En07IZ0uPWBNiZAsuN1VQ-gBsdkqJwCiyHBkKM_XlTovDw la actualización en varios procedimientos, formatos, que se realizan en el área de SST, sin embargo no se han publicado en la plataforma LVMEN, es necesario tener en cuenta la estandarización de procedimientos y modelado BPMN, a la división de TICs.
Importante realizar seguimiento e impulsar con el área de gestión de la calidad la revisión y publicación de los mismos en la página que tiene la Universidad -LVMEN
Pasó del 10% al 70%
El avance depende de la actualización o elaboración de los protocolos, procedimientos, instructivos y otros documentos correspondientes al SGSST y su publicación en LVMEN
II semestre 2024: 
Se evidencia en la plataforma LVMEN el cargue de los procedimientos actualizados, proceso realizado en el segundo semestre de 2024, los cuales ya se encuentran codificados y cargados.
Avance pasa del 70% al 100%. </t>
  </si>
  <si>
    <t xml:space="preserve">I semestre 2024:
No se reportan evidencias acorde a la unidad de medida y medio de verificación para la actividad.
El avance depende de la presentación de informes de inspección en los que se incluya a los integrantes del COPASST 
II semestre 2024: 
El proceso de conformación del Copast se realizó en el mes de octubre , solo se alcanzó a programar una inspección realizada el día 10-10-24,  al  taller de maderas según informe que reposa en archivo. Se encuentra en construcción el programa de actividades del SST para la vigencia 2025, donde se incluirán inspecciones con el acompañamiento de integrantes del  COPAST.
La profesional encargada del SST, mediante oficio  5.1.4-55.6/026
del 6-02-25, solicita ampliación en el plazo hasta el 30 de junio de 2025
La actividad pasa del 0% al 50%. </t>
  </si>
  <si>
    <t xml:space="preserve">I semestre 2024:
Se tiene establecida la realización de la auditoria al SST para el II semestre 2024, por lo tanto no se evidencia avance para este I semestre , se mantiene el mismo % de avance
II semestre 2024:
No se presenta avance toda vez que no se realizó auditoria al SST, por las visitas del Ministerio del Trabajo , se tiene programa para el segundo semestre de 2025. La profesional encargada del SST, solicitará ampliación el plazo para poder entregar la información en el seguimiento 2025-1. 
El avance mantiene en 50%. </t>
  </si>
  <si>
    <t>I semestre 2024:
La Auditoria al SST se tiene programada para el II semestre 2024.
Importante tener presente la elaboración de este documento atendiendo los lineamientos establecidos en el articulo 2.2.4.6.31 del Decreto 1072 de 2015.
El avance depende de la presentación del informe de SGSST al Rector, su retroalimentación y la realización del seguimiento a las investigaciones de accidentes de trabajo y enfermedades laborales 
II semestre 2024: 
Como no se realizó auditoria no se evidencia los resultados de la misma a la Dirección universitaria .
La profesional encargada del SST, mediante oficio  5.1.4-55.6/026
del 6-02-25, solicita ampliación en el plazo hasta el 30 de diciembre de 2025</t>
  </si>
  <si>
    <t xml:space="preserve">I semestre 2024:
No se presenta avance para este I semestre, toda vez que la auditoria está programada para el II semestre 2024
II semestre 2024: 
Se presenta plan de mejoramiento de la revisión al cumplimiento de estandares 2025,  incluyendo las actividades a realzar, los recursos , responsables y fecha de finalización de las actividades 
Pasa del 80% al 90%. </t>
  </si>
  <si>
    <t>Se suscribió el 20 de octubre de 2022 con ejecución  a partir del 01 de noviembre de 2022
Se solicitó ampliación de la fecha de finalización programada con oficio 5.1.4-55.6/026 del 06/02/2025, hasta el 30/06/2025.</t>
  </si>
  <si>
    <t xml:space="preserve">2023- 1: El procedimiento contiene algunos criterios (Descuentos) para la liquidación de matrícula financiera, sin embargo, se hace necesario la consolidación de los demás criterios.
Con el procedimiento presentado se otorga un avance del 40%. 
2023-2: DARCA no remitió evidencias de avance. 
2024 - 1: No se presentaron evidencias de avance. 
2024 - II: No se presentaron evidencias de avance. </t>
  </si>
  <si>
    <t xml:space="preserve">El Plan se reformuló en el 2021, ya que el suscrito no tenía previstas acciones de mejora. 
Se ampliaron las fechas de finalización del Plan de Mejoramiento, hasta el 31/12/2024, en atención a la solicitud 5-55.6/0528 del 25/07/2024 de la Vicerrectoría Administrativa.
En el seguimiento del II semestre del 2025, la División de Gestión Financiera presentó justificación para la ampliación de su actividad pendiente, hasta el 30/06/2025. Por su parte, la Vicerrectoría Administrativa no reportó evidencias ni solicitó ampliación. </t>
  </si>
  <si>
    <t xml:space="preserve">I semestre 2024:
La División de Gestión Financiera informó que el avance de la actividad está sujeto a la aprobación de la nueva normatividad que reemplazará la Resolución R 726 de 2013, respecto al otorgamiento y legalización de avances concedidos por la Universidad del Cauca a cargo de la Vicerrectoría Administrativa.
Por su parte, la Vicerrectoría Administrativa solicitó ampliación de la fecha final programada, hasta el 31 de diciembre del 2024, para finalizar las modificaciones, aprobación y publicación de la Resolución en mención, y la actialización de los procedimientos.
 Por lo anterior, la actividad mantiene el 50% de los anteiores seguimientos.
II semestre 2024: 
La División de Gestión Financiera solicitó ampliación de la fecha de finalización de la actividad, justificando que ésta depende de la actualización de la Resolución R 726 de 2013, la cual se encuentra en ajuste por parte de la Vicerrectoría Administrativa. 
Por lo anterior, se amplía la fecha fin y se mantiene el avance en 50%. </t>
  </si>
  <si>
    <t xml:space="preserve">
I semestre 2024:
Con oficio 7.2-92.8/158 del 24/03/2023 la Vicerrectoría de Cultura solicitó ampliación de la fecha fin.
Acta 7.1-1.56/01 del 16/02/2023, incluye Aprobación de la reforma de los Acuerdos Superiores 030 de 2015 y 040 de 2015
Oficio 7.2-92.8/710  del  26/10/2023 de solicitud de concepto Acuerdos 030/2015 y 040/2003
Para el II semestre de 2024, con oficio 7.2-55.6/646 del 12 de diciembre de 2024, la Vicerrectoría de cultura y bienestar presentó:
PROYECTO DE ACUERDO SUPERIOR XXX Por el cual se deroga el Acuerdo 030 de 2015 y se crea el Sistema de Cultura y Bienestar de la Universidad del Cauca.
Oficio 7.1-55.6/752 del 8/10/2024 de Solicitud de concepto jurídico sobre el alcance del Acuerdo Superior 052 de 2018
Oficio 7.1-55.6/931 del 2/12/2024 de remisión a la Oficina Jurídica del documento borrador por medio del cual se pretende derogar el Acuerdo 030 de 2015 pormedio del cual se establece el Sistema de Cultura y Bienestar de la Universidad del Cauca.
Soportes de las sesiones de trabajo realizadas para la revisión del ajuste al Acuerdo del 30/07/2024, 5/08/2024, </t>
  </si>
  <si>
    <t>I semestre 2024:
Con oficio 7.2-92.8/158 del 24/03/2023 la Vicerrectoría de Cultura solicitó ampliación de la fecha fin.
Durante este periodo se ha descrito nuevamente los lineamientos para ser ajustada. se espera en agosto y septiembre poderla pasar a los demas Consejos.
Oficio 7.2-92.8/710  del  26/10/2023 de solicitud de concepto Acuerdos 030/2015 y 040/2003
Para el II semestre de 2024, con oficio 7.2-55.6/646 del 12 de diciembre de 2024, la Vicerrectoría de cultura y bienestar presentó las mismas evidencias de la actividad "Presentar al Consejo Académico el proyecto de reforma al Sistema de Cultura y Bienestar para su aval"</t>
  </si>
  <si>
    <t>Con oficio 7.2-52.5/978 del  30 de noviembre de 2023, la Vicerrectoría de Cultura reportó:
PROGRAMA DE PERMANENCIA Y GRADUACIÓN PERMANESER VICERRECTORÍA DE CULTURA Y BIENESTAR INFORME DE ATENCIONES DE PERMANESER 2023-II (1 DE AGOSTO AL 31 DE OCTUBRE)
Para el II semestre de 2024, con oficio 7.2-55.6/646 del 12 de diciembre de 2024, la Vicerrectoría de cultura y bienestar presentó:
Oficio 7.1-48/146 del 26/11/2024 dirigida al Vicerrector de Cultura y Bienestar por Coordinadora Programa PermaneSer, donde presenta la información del programa Permanaser del año 2024 con corte a 31 de octubre así: ingresaron por caso especial y los atendidos, atendidos por el componente psicoeducativo, caracterización de estudiantes de primer semestre, atendidos en estado de repitencia y por caso diferencial semestre 2024-2, y observaciones.
Matriz con atenciones_permaneser_2024-1
Matriz atenciones_permaneser_2024-11-19
Presentación Consejo de Cultura - PPT-18-11-2024</t>
  </si>
  <si>
    <r>
      <t>Se consolidó la información de las atenciones realizadas por el programa PermaneSer en la vigencia 2023,  en el contenido del Informe se referencia las comunicaciones a las Facultades "Tabla 5: Caracterizaciones estudiantes de primer semestre 2023-I" donde se evidencia las fortalezas y debilidades en los aspectos evaluados
Para el II semestre  se consolidó las atenciones realizadas con corte a 31/10/2024.
Se asigna avance de 100%
La Vicerrectoría de Cultura describió que "</t>
    </r>
    <r>
      <rPr>
        <i/>
        <sz val="11"/>
        <rFont val="Arial"/>
        <family val="2"/>
      </rPr>
      <t>... la Oficina de Planeación es la encargada de reportar la información al Sistema SPADIES y por tanto es la encargada de manejar índices de deserción y retención estudiantil.</t>
    </r>
    <r>
      <rPr>
        <sz val="11"/>
        <rFont val="Arial"/>
        <family val="2"/>
      </rPr>
      <t>" sin evidencias de las articulaciones realizadas para el reporte.</t>
    </r>
  </si>
  <si>
    <t>Para el II semestre de 2024, con oficio 7.2-55.6/646 del 12 de diciembre de 2024, la Vicerrectoría de cultura y bienestar presentó:
Actas de reunión 7.2-3.58/027 del 8/04/2024 - procedimiento formaciones artisitcas para el bienestar
 7.2-3.58/028 del 12/04/2024 procedimiento ingreso a mueseos, 7.2-3.58/029 del 12/04/2024  voluntariado servicio social Universitario, 7.2-3.58/030 del 18/04/2024 procedimiento de movilidad y circulación de piezas patrimoniales, 7.2-3.58/031 del 18/04/2024 registro e inventarios de las colecciones museográficas y 7.2-3.58/032 del 18/04/2024 actas de convocatorias para grupos y proyectos de cultura y bienestar
se evidenció la actualización de formatos:
Gestión del Bienestar Universitario:
PA-GU-7-FOR-96 Promedio Ponderado para Acceso a Residencias V1
PA-GU-7-FOR-97 Acta de entrega de Habitación e Inventario asignado a Estudiante con Movilidad Reducida V1
PA-GU-7-FOR-98 Lista de Chequeo para Documentos de Residencias Universitarias Estudiantiles V1
PA-GU-7-FOR-99 Acta de Devolución de Habitación e Inventario Asignado Habitación Movilidad Reducida V1
PA-GU-7-FOR-33 Acta de Devolución de Habitación e Inventario Asignado Habitación Normal
PA-GU-7-FOR-11 Acta Entrega Habitación e Inventario Asignado - Habitación Normal V2
PA-GU-7-FOR-17 Formato de Visita Domiciliaria V4
PA-GU-7-FOR-70 Entrevista Presencial, Telefónica o Visita Domiciliaria V3
PA-GU-7-FOR-14 Formato Hoja de Seguimiento V4
PA-GU-7-FOR-16 Formato de Solicitud de Beneficios V2</t>
  </si>
  <si>
    <t>Con oficio 7.2-52.5/978 del  30 de noviembre de 2023, la Vicerrectoría de Cultura reportó:
Actualmente se realiza la revisión y actualización de procesos y procedimientos de la Division de Gestión de Salud Integral y Desarrollo Humano. 
En el caso de la División de Gestión de la Cultura se realizarón la mejora a los procedimientos PAGU 7.2PR-14 y el PAGU7.2 PR-5
Para el II semestre de 2024, la Vicerrectoría de cultura y bienestar no presentó soportes para la actividad, se mantiene el avance de 40%.</t>
  </si>
  <si>
    <t>Se sustentan mejoras en los procedimientos aplicados por la Vicerrectoría de Cultura y Bienestar, sin embargo, no se visibiliza la actualización de todos los procedimientos en Lvmen.
Se mantiene avance de 40%
I y II semestre 2024: 
No se presentan avances para el seguimiento, por lo que el avance se mantiene en 40%</t>
  </si>
  <si>
    <t xml:space="preserve">Propuesta del Plan estratégico a presentarse ante el Comité de Cultura y Bienestar..
Con oficio 7.2-92.8/158 del 24/03/2023 la Vicerrectoría de Cultura solicitó ampliación de la fecha fin.
Formato PE-GE-2.4-FOR-49 seguimiento y evaluación a Plan de Acción Anual del Plan de Desarrollo Institucional
020_CONVENIO_3594-2023 CONCERTACION MINCULTURA POR POPAYAN CIUDAD LIBRO 2023
Copia de PA-GA-5.4.5-FOR-13 INVERSION -Plan Anual de Adquisiciones V2 dep.
PA-GA-5.4.5-FOR-13 FUNCIONAMIENTO-Plan Anual de Adquisiciones V2 dep. (1)
03 - PE-GE-2.4-FOR-48. Presentación y Seguimiento proyectos - Fortalecimiento Cultural de la Memoria V3 (3)
Actas de reunión 7.1-1.56/004 del 19/01/2023 y 7.1-1.56/006 24/01/2023, de revisión de los planes de Acción 2023 de las Divisiones de la Vicerrectoría de Cultura.
PLAN DE ACCION con las actividades para la División de Gestión de Cultura 2023
Para el II semestre de 2024, con oficio 7.2-55.6/646 del 12 de diciembre de 2024, la Vicerrectoría de cultura y bienestar presentó:
Matriz de seguimiento ppto_Funcionamiento, que corresponde a una captura de pantalla
Matriz seguimiento ppto_Inversión, que corresponde a una captura de pantalla
Registro de Reunión, que corresponde a una captura de pantalla
</t>
  </si>
  <si>
    <t>Existen planes estratégicos de la Vicerrectoría de Cultura y Bienestar que contienen elementos de control como lo son los proyectos de Plan de Desarrollo Institucional y el Plan Anual de Adquisiciones, sin embargo, se debe evidenciar el seguimiento de las acciones y actividades para cada vigencia acorde a las necesidades de los programas y servicios de bienestar estudiantil distintos a los planes operativos de las Divisiones de la Vicerrectoría de Cultura.
II semestre 2024: 
Las evidencias presentadas no contienen elementos suficientes para la asingación de avance, por lo que se mantiene el 80%.</t>
  </si>
  <si>
    <r>
      <t xml:space="preserve">La OCI con base en la Unidad de Medida </t>
    </r>
    <r>
      <rPr>
        <b/>
        <u/>
        <sz val="11"/>
        <rFont val="Arial"/>
        <family val="2"/>
      </rPr>
      <t xml:space="preserve">asigna avance del 100%. </t>
    </r>
  </si>
  <si>
    <t>Se registra en la División de Gestión de la Cultura una organización de sus archivos y se ha desarrollado el traslado acorde a las tablas de retención documental. Se desarrollo la visita del Área de Archivo para revisión el que se ajusto de acuerdo a lineamientos y se esta a la espera de que dicha dependencia nos de el aval para enviar los documentos, ya que esa fue la directriz.
Para el II semestre de 2024, con oficio 7.2-55.6/646 del 12 de diciembre de 2024, la Vicerrectoría de cultura y bienestar presentó:
INDICE O INVENTARIO INDIVIDUAL PARA LEGAJOS de las vigencias 2018, 2019, 2020, 2021 y 2023 por cada serie y subserie de la Vicerrectoría y voluntariado.
Formatos PA-GA-2.1.1-FOR-5 diligenciados para Gestion de la Cultura.</t>
  </si>
  <si>
    <t>Sin evidencia del Plan de Trabajo para la organización del archivo de Gesitón de la Vicerrectoría de Cultura y Bienestar.
La OCI Verificará el estado del archivo de gestión de la Vicerrectoría de Cultura y Bienestar, a fin de dar el cierre a las actividades.</t>
  </si>
  <si>
    <t>En la División de Gestión de Salud Integral y Desarrollo Humano,  se realiza el archivo conforme a la tabla de retencion documental. se llevo a cabo una reunion virtual con la funcionaria Ingrid Johana Quiñonez, del Area de Gestión Documental, el dia 14 de noviembre de 2023, para establecer los cambios a realizarse en la nueva tabla de retencion documental. realizada mediante el siguente link:  https://meet.google.com/cpg-rmbj-vbk
Para el II semestre de 2024, con oficio 7.2-55.6/646 del 12 de diciembre de 2024, la Vicerrectoría de cultura y bienestar presentó:
INDICE O INVENTARIO INDIVIDUAL PARA LEGAJOS de las vigencias 2018, 2019, 2020, 2021 y 2023 por cada serie y subserie de la Vicerrectoría y voluntariado.
Formatos PA-GA-2.1.1-FOR-5 diligenciados para Gestion de la Cultura.</t>
  </si>
  <si>
    <t>Sin evidencia del Plan de Trabajo para la organización del archivo de Gesitón de la Vicerrectoría de Cultura y Bienestar. En visita realizada por la OCI a las instalaciones de la Vicerrectoría de Cultura y Bienestar y Patrimonio, se evidenció los archivos de gestión con aspectos por mejorar acorde a las normas de gestión documental, como se registra en acta de seguimiento 2.6-1.60/04 del 27/06/2023 y 2.6-1.60/05 del 05/07/2023
La OCI Verificará el estado del archivo de gestión de la Vicerrectoría de Cultura y Bienestar, a fin de dar el cierre a las actividades.</t>
  </si>
  <si>
    <t>Efectividad del 76%,
Se realizaron las reuniones en el tiempo programado.
Gestión 100%, las reuniones realizadas evidencian el análisis de los factores externos que pueden impactar al procedimiento de reliquidación de matrículas.
Impacto 25%, en las actas del segundo semestre 2024, se evidencia el acto administrativo con los ajustes realizados.</t>
  </si>
  <si>
    <t>Efectividad del 75%,
Se realizaron las reuniones en el tiempo programado.
Gestión 100%, las reuniones realizadas evidencian el análisis de los factores externos que pueden impactar al procedimiento de reliquidación de matrículas.
Impacto 25%, en las actas del segundo semestre 2024, se evidencia el acto administrativo con los ajustes realizados.</t>
  </si>
  <si>
    <t>Con oficio 7.4-52.5/416 del 05/12/2023 la División de gestión integral y desarrollo humano presentó:
Acta de reunión 7.4-1.56/131 del 17/11/2023 y  7.4-1.56/139 del 29/11/2023
Proyeción nuevo Acuerdo para Reliquidacion de matricula redactado por la  la División de Gestión de Salud Integral y Desarrollo Humano.
Correo de Proyecto Estatuto de Reliquidación del valor de los derechos básicos de matrículafinanciera neviado a Vicerrectoría Administrativa, Vicerrectoría Académica y Oficina asesora Jurídica.
Para el II semestre de 2024
con oficio 7.2-55.6/646 del 12/12/2024, la vicerrectoría de Cultura y Bienestar presentó:                                                                                                                                       -  Acta N° 7.4-3.58/078 del 08/08/2024, reunión en la que participó el vicerrector de cultura y bienestar y como invitados, algunos servidores públicos de la vicerrectoria Administrativa, la oficina  Juridica, la division de Gestion de Salud Integral y Desarrollo Humano con el acompañamiento del Vicerrector de Cultura y Binestar para revisar el documento propuesta de modificación del acuerdo 052. 
- Acta N° 7.4-358/086  del 29/08/2024, reunión efectuada con la participación de  algunos servidores públicos de la vicerrectoria Administrativa, la oficina  Juridica, la divsion de Admisiones, Registro y Control Academico, la division de Gestion de Salud Integral y Desarrollo Humano, para continuar con la revisión del documento propuesta de modificación del acuerdo 052.                                                                                                                  - Acta No.7,4-3,58/097 del 09/09/2024, reunión en la que participaron algunos servidores de las vicerrectorias Administrativa, de cultura y bienestar, las divisiones de Admisiones, Registro y Control Academico y de Gestión de Salud Integral y Desarrollo Humano y la oficina Jurídica.                                                                                                             - Acta No.7,4-3,58/101 19/11/2024, reunión en la que participaron algunos servidores de la vicerrectoria Administrativa, la divsion de Admisiones, Registro y Control Academico y la division de Gestión de Salud Integral y Desarrollo Humano.</t>
  </si>
  <si>
    <t>Se realizó proyección del nuevo Acuerdo para reliquidación de matricula desde la División de Gestión de Salud Integral y Desarrollo Humano.
La División de gestión de salud integral y desarrollo humano manifestó dificultad para realizar reuniones en articulación con la Vicerrectoria Administrativa, por tanto se avanzo en el documento para ser retroalimentado posteriormente.
II semestre de 2024 
La OCI observó las fechas en las que se realizaron las sesiones de trabajo para la revisión de la propuesta de modificación del Acuerdo 052, sin embargo, en algunas actas no hay claridad sobre cuáles son los ajustes a la propuesta de acuerdo, realizados en cada sesión.
Así mismo se evidencia incumplimiento, por la oficina Jurídica, de los compromisos determinados e inasistencia a algunas sesiones se trabajo.</t>
  </si>
  <si>
    <t>No se evidencia el documento revisado y ajustado por la oficina  Jurídica.
Avance 0%</t>
  </si>
  <si>
    <t>En la reunión llevado a cabo con Secreatria General se despejaron diferentes dudas a fin de lograr articulación con el sistema de PQRSF,
Acta sin identificación de la seríe y subserie conforme a la TRD
Para el segundo semestre se describe que se envió la proyecion del procedimiento de reliquidación de matricula pero esta sujeto al nuevo Acuerdo.</t>
  </si>
  <si>
    <t>Pendiente la aprobación de modificación del A.S. 052 de 2016 y de la revisión de criterios del Sistema PQRSF para articular al procedimiento
Sin avance</t>
  </si>
  <si>
    <t>Efectividad de 64%
Eficiencía y eficacia: El riesgo se identificó para la vigencia 2024, superando el plazo definido como fecha fin para la actividad.
Gestión: El informe de seguimiento al Plan Anticorrupción y Atención al Ciudadano I cuatrimestre 2024 evaluó el riesgo, identificando aspectos de mejora en su redacción, consecuencia y control.
Impacto: Se continua revisando y monitoreando los controles del riesgo identificado.
Pendiente la verificación del monitoreo al PAAC III cuatrimestre 2024.</t>
  </si>
  <si>
    <t>Con oficio 7.4-52.5/416 del 05/12/2023 la División de gestión integral y desarrollo humano informó:
El procedimiento de reliquidación de matricula no se encuentra incluido en la Tabla de Retención Documental, no obstante, los tipos documentales resultantes tales como actas de reunión y oficios de respuesta a estudiante se efectuan desde los comprendidos en la tabla de la División de Gestión de Salud Integral y Desarrollo Humano; asi pues para actas 7.4 - 1.56  y para oficios de respuesta 7.4 - 52.5.  Por otro lado es preciso indicar que en reunión sostenida con Secretaria General, se aclaro que este procedimiento no podia ser incluido en la División de Gestión de Salud Integral y Desarrollo Humano pues  es un proceso que pertenece a Vicerrectoria Administrativa. 
II semestre de 2024.
Con oficio 7.2-55.6/646 del 12/12/2024, la Vicerrectoría de cultura y bienestar presentó: "La documentacion relacionada con el procedimiento de reliquidacion de matricula se organiza de acuerdo al TRD de la División de Gestion de Salud Integral y Desarrollo Humano "</t>
  </si>
  <si>
    <t>Con oficio 7.4-52.5/416 del 05/12/2023 la División de gestión integral y desarrollo humano informó:
El archivo de gestión documental, se encuentra organizado según las normas en la Secretaria de la División de Gestión de Salud Integral y Desarrollo Humano,  conforme las indicaciones de Secreatria General. 
Para el II semestre de 2024, con oficio 7.2-55.6/646 del 12 de diciembre de 2024, la Vicerrectoría de cultura y bienestar presentó:
"Es preciso mencionar que de forma digital mendiante Google drive se envia copia de los archivos de cada estudio socioeconomico a la Vicerrctoria Administrativa."</t>
  </si>
  <si>
    <r>
      <t>Con oficio 7.4-55.6/105 del 19/06/2024 se reportó:
El Mapa Integral de Riesgos Institucional Vigencia 2024 Versión 2, incluye riesgo de cocrrupción "</t>
    </r>
    <r>
      <rPr>
        <i/>
        <sz val="12"/>
        <rFont val="Arial"/>
        <family val="2"/>
      </rPr>
      <t>Abuso de poder al realizar el estudio socioeconómico para beneficio de terceros.</t>
    </r>
    <r>
      <rPr>
        <sz val="12"/>
        <rFont val="Arial"/>
        <family val="2"/>
      </rPr>
      <t>"
Correos electronicos del 18/06/2024 a la Oficina de Planeación y Desarrollo Institucional de ajustes del riesgo identificado</t>
    </r>
  </si>
  <si>
    <t>Se informó sobre las gestiones ante la Facultad de Derecho y Ciencias Políticas y Sociales, a través de correos electrónicos con los que se solicita el registro de notas pendientes. La OCI no obtuvo los registros que evidencien la gestión mencionada.
Se evidencian las correos informales (sin TRD, sin formato institucional) enviados a Decanos de Facultades con alertas sobre las materias y docentes sin registro de notas corte 70% en SIMCA  de agosto de 2022, y febrero de 2023. No se evidencia los anexos en Excel imposibilitando comprobar la eficacia de la implementación de la estrategia
Se han implementado medidas correctivas en cuanto a la aplicación de nuevos  controles  para el registro de notas, sin embargo, el procedimiento se encuentra en proceso de documentación.
En asesoría del 16/07/2024 la OCI indicó la posibilidad de reformulación de la actividad, sin embargo, no se presentó propuesta de reformulación.</t>
  </si>
  <si>
    <t>Con oficio 4.1-55.6/447 del 19/06/2024, el Centro de Regionalización presenta:
CARPETA: SEGUMIENTO #1 PDI - PTIES UNICAUCA, donde se encuentran documentos correspondientes a la presentación de la propuesta del programa de tránsito inmediato a la educación superior, tanto a la Universidad del Cauca como a los municipios interesados.
Para el seguimiento con corte diciembre 2024, el centro de Regionalización mediante oficio 4.1-55.6/29 del 29/01/2025 presenta: oficio 4.1-55.6/475 del 19/06/2024, asunto: Observaciones oficina de control interno; Oficio 2.4-55.6/400 del 12/07/2024 asunto: Invitación a mesa de trabajo para atender el oficio 4.1-55.6/475; Acta No. 2.4-3.58/78 del 18/07/2024, asunto: Mesa de trabajo para atender el oficio 4.1-55/475 emitido por el Centro de Regionalización.</t>
  </si>
  <si>
    <t>No se evidencian las actas y listas de asistencia de reuniones encaminadas a la identificación de actividades y proyectos a trabajar durante la vigencia 2024 y que permitan cumplir con las funciones asignadas al Centro de Regionalización en el Acuerdo Superior 005 de 2013, razón por la cual no se asigna avance.
Se evidencio acta de reunión donde el Centro de Regionalización solicitó acompañamiento y/o asesoria para la realización del plan de acción, en la que concluyó que es necesario definir criterios para la elaboración de estos planes a nivel institucional. Se asigna un avance del 90%, al no evidenciar en los soportes actividades correspondientes a la construcción del plan de acción, ni listados de asistencia</t>
  </si>
  <si>
    <t>Con oficio 4.1-55.6/447 del 19 de junio de 2024, el Centro de Regionalización presenta: CARPETA: SEGUMIENTO #1 PDI - PTIES UNICAUCA, donde se encuentran documentos correspondientes a la presentación de la propuesta del programa de tránsito inmediato a la educación superior, tanto a la Universidad del Cauca como a los municipios interesados.
Para el seguimiento con corte diciembre 2024, el centro de Regionalización mediante oficio 4.1-55.6/29 del 29/01/2025 presenta: documento en formato Excel "PLAN DE ACCIÓN 2024_V2", en que se encuentra relación de actividades, cronograma y responsables.</t>
  </si>
  <si>
    <t>La documentación presentada corresponde al proyecto: programa de tránsito inmediato a la educación superior. No se evidencian actas y listas de asistencia de reuniones que soporten la construcción del plan de acción del Centro de Regionalización. No se da avance a la actividad.
El formato Excel "PLAN DE ACCIÓN 2024_V2" relaciona actividades, cronograma y responsables. 
No se evidencian actas de reunión, listados de asistencia, registros relacionados para el cumplimiento del indicador. Por lo tanto se asigna un 90% de avance.</t>
  </si>
  <si>
    <r>
      <t>Con oficio 4.1-55.6/447 del 19 de junio de 2024, el Centro de Regionalización presenta:
1. Comunicación mediante correo electrónico del 9/04/ 2024, asunto: Politica de Regionalización dirigido a rectoría, secretaria general, vicerrectorias, oficinas de planeación, entre otros, informando sobre la agenda del Consejo Superior para la presentación de la politica de regionalización.
2. En la matriz de seguimiento a planes de mejoramiento, el Centro de Regionalización informa: "</t>
    </r>
    <r>
      <rPr>
        <i/>
        <sz val="11"/>
        <rFont val="Arial"/>
        <family val="2"/>
      </rPr>
      <t xml:space="preserve">La propuesta se encuentra a la espera de programación por parte del Consejo Superior. Inicialmente se programó para el 22/05/2024, teniendo un aplazamiento hasta el momento no definido"
Para el seguimiento con corte diciembre 2024, el centro de Regionalización mediante oficio 4.1-55.6/29 del 29/01/2025 presenta:
Propuesta de acuerdo de la politica con ajustes realizados a noviembre de 2024. Oficio 2.5-55.6/0616 del 14/11/2024 dirigido por la oficina juridica con la propuesta de politica revisada y ajustada conforme a los lineamientos juridicos. Proyección de Resolución Rectoral para la creación del Comité de Regionalización. </t>
    </r>
  </si>
  <si>
    <t>Se asigna avance del 80% evidenciando que el Centro cumple con la unidad de medida establecida para la aprobación de la Politica por parte del Consejo Superior.
Para el proximo seguimiento se espera que el Centro de Regionalización se siga impulsando la aprobación de la Política para asignar el restante 20% de avance.
Verificadas las evidencias enviadas con corte diciembre 2024, se asigna un avance del 90% (pasando de 80% a 90%). Para el proximo seguimiento se espera que desde el Centro de Regionalización se siga impulsando la aprobación de la Política para asignar el restante 10% de avance.</t>
  </si>
  <si>
    <t>Con oficio 4.1-55.6/447 del 19 de junio de 2024, el Centro de Regionalización presenta:
Oficio 4.1-55.6/359 del 07/06/2024, dirigido a la oficina juridica, asunto: solicitud de modificación al Acuerdo Superior 105 de 1993, Respecto a la observación 3.
Para el seguimiento con corte diciembre 2024, el centro de Regionalización mediante oficio 4.1-55.6/29 del 29/01/2025 presenta: 
Acta de reunión No. 4.1-3.58/25 del 13/08/2024, temas: asesoria observaciones Oficina de Control Interno en el informe No. 2.6-52.18/22 de 2023
Oficio 4.1-55.6/ 565 del 14/08/2024 dirigido a la OPDI solicitando concepto sobre sedes universitarias.</t>
  </si>
  <si>
    <t xml:space="preserve">Se da avance del 50% al cumplir con la unidad de mediad de la actividad, en cuanto a la solicitud de modificación del Acuerdo AS 105 de 1993, Artículo 49, Numeral 11, respecto de las sedes académico administrativas por parte del Centro de Regionalización, Sin embargo, La OCI espera que para el próximo seguimiento se haya gestionado la respuesta por parte de la oficina juridica.
Para el seguimiento con corte diciembre 2024 se asigna un avance del 20%, pasando a un consolidado del 70% al evidenciar que el Centro de Regionalización continúa con la gestión para la modificación del Acuerdo AS 105 de 1993, acogiendo la recomendación realizada por la Oficina Juridica en cuanto a la solicitud de concepto a la OPDI sobre las Sedes. Se espera que el Centro continúe realizando gestiones. </t>
  </si>
  <si>
    <t>Con oficio 4.1-55.6/447 del 19 de junio de 2024, el Centro de Regionalización presenta:
1. Oficio 4.1-55.6/221 del 04/04/2024, dirigido al Comité Directivo, asunto: observaciones Oficina de Control Interno - Sede Santander de Quilichao, observación 9 y 10.
2. Oficio 4.1-55.6/360 del 07/06/2024, dirigido a la oficina jurídica, asunto: observaciones Oficina de Control Interno - Sede Santander de Quilichao, observación 9 y 10.
Para el seguimiento con corte diciembre 2024, el centro de Regionalización mediante oficio 4.1-55.6/29 del 29/01/2025 presenta: 
Acta de reunión No. 4.1-3.58/25 del 13/08/2024, temas: asesoria observaciones Oficina de Control Interno en el informe No. 2.6-52.18/22 de 2023
Oficio 2.5-14.1/067 del 03/09/2024, asunto: Oficio 4.1-55.6/563 del 14/08/2024.</t>
  </si>
  <si>
    <t>El avance del 90% se da teniendo en cuenta que se identificaron las necesidades requeridas y se gestionó su modificación. 
La OCI sugiere que el Centro de Regionalización continue realizando gestión a las modificaciones requeridas.
Se evidencia que el Centro de Regionalización continúa con las gestiones para la modificación del artículo 67 del Acuerdo 051 de 2007 acorde a las necesidades identificadas por el Centro de Regionalización. Se espera que el Centro continúe realizando gestiones, por lo que se asigna un avance adicional del 5%, esperando que se continuen con las gestiones pertinentes.</t>
  </si>
  <si>
    <t>Para el seguimiento con corte diciembre 2024, el centro de Regionalización mediante oficio 4.1-55.6/29 del 29/01/2025 presenta: 
PDF con "Correo de Universidad del Cauca - CAPACITACIÓN - DIVISIÓN DE GESTIÓN DEL TALENTO HUMANO" del 1/03/2024, Oficio 4.1.11.1-55/34 del 23/02/2024, documento en formto Excel "Capacitaciones Unicauca - Funcionarios CR 2024"</t>
  </si>
  <si>
    <t>Con oficio 4.1-55.6/447 del 19 de junio de 2024, el Centro de Regionalización presenta:
Oficio 4.1-55.6/473 del 19/07/2024, dirigido al área de seguridad y salud en el trabajo.
Sin evidencias para el seguimiento con cierre diciembre 2024.</t>
  </si>
  <si>
    <t>Se asigna avance del 10% al evidenciar gestiones tendientes a la mejora de la observación, pero la evidencia no visibiliza la identificación de los riesgos correspondientes al hallazgo.
Sin avance para el periodo</t>
  </si>
  <si>
    <t>Revisados los documentos enviados para el seguimiento con corte diciembre 2024 se evidencia que el Centro de Regionalización ha documentado las actividades correspondientes al apoyo de los programas de formación tecnológica, pregrado y posgrado. Sin embargo, envian algunas evidencias con fechas anteriores a la suscripción del plan de mejoramiento, las cuales no son aceptadas como avance, el cual se asigna en un 50%. 
La OCI espera que para el proximo seguimiento se presenten nuevas evidencias las cuales cumplan con los criterios de gestión documental como es la aplicación de las TRD.</t>
  </si>
  <si>
    <t>Con oficio 4.1-55.6/447 del 19 de junio de 2024, el Centro de Regionalización presenta:
1. Oficio 4.1-55.6/224 del 04/04/2024, dirigido al Comité Directivo, asunto: observaciones Oficina de Control Interno - Sede Santander de Quilichao
2. Oficio 4.1-55.6/358 del 07/06/2024, dirigido a la oficina jurídica, asunto: observaciones Oficina de Control Interno - Sede Santander de Quilichao
Para el seguimiento con corte diciembre 2024, el centro de Regionalización mediante oficio 4.1-55.6/29 del 29/01/2025 presenta: Oficio .1-55.6/562 del 14/08/2024 dirigido al Jefe de Oficina de Planeación y Jefe de División Financiera donde solicitó se defina la viabilidad y operatividad del artículo 4, numeral 4, del Acuerdo Superior 105 de 1993</t>
  </si>
  <si>
    <t>Se da avance del 90% al evidenciar en el oficio 4.1-55.6/224 del 04/04/2024 la pertinencia de derogar los numerales 4 y 5 del artículo cuarto del Acuerdo Superior 005 de 1993, adémas, en el oficio 4.1-55.6/358 del 07/06/2024 se indica su aprobación por parte del Comité directivo, mediante Acta No. 014 del 14 de mayo de 2024. Sin evidencia del acta de aprobación 
Inconsistencia de la fecha de aprobación por el Comité Directivo debido a que  en la matriz de seguimeinto aparece que se realizó el 14 de mayo de 2024 y el oficio 4.1-55.6/358 del 07/06/2024 dirigido a la oficina jurídica indica que fue el 8 de mayo de 2024.
Para el seguimiento con corte diciembre 2024 se evidencia que el Centro de Regionalización continua con las gestiones para la modificación del Acuerdo superior 005. Se mantiene el avance.</t>
  </si>
  <si>
    <t>Con oficio 4.1-55.6/447 del 19 de junio de 2024, el Centro de Regionalización presenta:
1. Oficio 4.1-55.6/224 del 04/04/2024, dirigido al Comité Directivo, asunto: observaciones Oficina de Control Interno - Sede Santander de Quilichao
2. Oficio 4.1-55.6/358 del 07/06/2024, dirigido a la oficina jurídica, asunto: observaciones Oficina de Control Interno - Sede Santander de Quilichao
Para el seguimiento con corte diciembre 2024, el centro de Regionalización mediante oficio 4.1-55.6/29 del 29/01/2025 presenta: Oficio .1-55.6/562 del 14/08/2024 dirigido al Jefe de Oficina de Planeación y Jefe de División Financiera donde solicitó se defina la viabilidad y operatividad del artículo 4, numeral 4, del Acuerdo Superior 105 de 1993</t>
  </si>
  <si>
    <t>Se da avance del 90% al evidenciar en el oficio 4.1-55.6/224 del 04/04/2024 la pertinencia de derogar los numerales 4 y 5 del artículo cuarto del Acuerdo Superior 005 de 1993, adémas, en el oficio 4.1-55.6/358 del 07/06/2024 se indica su aprobación por parte del Comité directivo, mediante Acta No. 014 del 14 de mayo de 2024. Sin evidencia del acta de aprobación 
Inconsistencia de la fecha de aprobación por el Comité Directivo debido a que  en la matriz de seguimeinto aparece que se realizó el 14 de mayo de 2024 y el oficio 4.1-55.6/358 del 07/06/2024 dirigido a la oficina jurídica indica que fue el 8 de mayo de 2024.
Se recomienda continuar con las gestiones hasta alcanzar la modificación solicitada.
No se asigna avance para el periodo de segimiento debido a que no se cuenta con evidencias que den cumplimiento al indicador.</t>
  </si>
  <si>
    <r>
      <rPr>
        <b/>
        <sz val="11"/>
        <rFont val="Arial"/>
        <family val="2"/>
      </rPr>
      <t>Eficacia y eficiencia del 59%</t>
    </r>
    <r>
      <rPr>
        <sz val="11"/>
        <rFont val="Arial"/>
        <family val="2"/>
      </rPr>
      <t xml:space="preserve">: se presenta la propuesta de la politica de Regionalización pero fuera de los tiempos establecidos.
</t>
    </r>
    <r>
      <rPr>
        <b/>
        <sz val="11"/>
        <rFont val="Arial"/>
        <family val="2"/>
      </rPr>
      <t>Gestión del 100%</t>
    </r>
    <r>
      <rPr>
        <sz val="11"/>
        <rFont val="Arial"/>
        <family val="2"/>
      </rPr>
      <t xml:space="preserve">: dentro del documento de propuesta se dan lineamientos para asegurar la calidad, pertinencia y sostenibilidad de los programas descentralizados y regionalizados.
</t>
    </r>
    <r>
      <rPr>
        <b/>
        <sz val="11"/>
        <rFont val="Arial"/>
        <family val="2"/>
      </rPr>
      <t>Impacto del 100%</t>
    </r>
    <r>
      <rPr>
        <sz val="11"/>
        <rFont val="Arial"/>
        <family val="2"/>
      </rPr>
      <t xml:space="preserve">: para el seguimiento al plan de mejoramiento con corte diciembre 2024, se presenta propuesta de acuerdo de la politica de regionalización con ajustes realizados a noviembre de 2024. Oficio 2.5-55.6/0616 del 14/11/2024 dirigido por la oficina juridica donde se adjunta la propuesta de politica revisada y ajustada conforme a los lineamientos juridicos. Proyección de Resolución Rectoral para la creación del Comité de Regionalización. Por lo anterior, el impacto pasa de 50% al 100% al evidenciar que se continua las gestiones para la aprobación de la politica.
</t>
    </r>
    <r>
      <rPr>
        <b/>
        <sz val="11"/>
        <rFont val="Arial"/>
        <family val="2"/>
      </rPr>
      <t>Efectividad del 86,42%</t>
    </r>
  </si>
  <si>
    <r>
      <rPr>
        <b/>
        <sz val="11"/>
        <rFont val="Arial"/>
        <family val="2"/>
      </rPr>
      <t>Eficacia y eficiencia del 100%</t>
    </r>
    <r>
      <rPr>
        <sz val="11"/>
        <rFont val="Arial"/>
        <family val="2"/>
      </rPr>
      <t xml:space="preserve">: se presenta la propuesta de la politica de Regionalización dentro de los tiempos establecidos.
</t>
    </r>
    <r>
      <rPr>
        <b/>
        <sz val="11"/>
        <rFont val="Arial"/>
        <family val="2"/>
      </rPr>
      <t>Gestión del 100%</t>
    </r>
    <r>
      <rPr>
        <sz val="11"/>
        <rFont val="Arial"/>
        <family val="2"/>
      </rPr>
      <t xml:space="preserve">: dentro del documento de propuesta se dan lineamientos para asegurar la calidad, pertinencia y sostenibilidad de los programas descentralizados y regionalizados.
</t>
    </r>
    <r>
      <rPr>
        <b/>
        <sz val="11"/>
        <rFont val="Arial"/>
        <family val="2"/>
      </rPr>
      <t>Impacto del 100%</t>
    </r>
    <r>
      <rPr>
        <sz val="11"/>
        <rFont val="Arial"/>
        <family val="2"/>
      </rPr>
      <t xml:space="preserve">: para el seguimiento al plan de mejoramiento con corte diciembre 2024, se presenta propuesta de acuerdo de la politica de regionalización con ajustes realizados a noviembre de 2024. Oficio 2.5-55.6/0616 del 14/11/2024 dirigido por la oficina juridica donde se adjunta la propuesta de politica revisada y ajustada conforme a los lineamientos juridicos. Proyección de Resolución Rectoral para la creación del Comité de Regionalización. Por lo anterior, el impacto pasa de 50% al 100% al evidenciar que se continua las gestiones para la aprobación de la politica.
</t>
    </r>
    <r>
      <rPr>
        <b/>
        <sz val="11"/>
        <rFont val="Arial"/>
        <family val="2"/>
      </rPr>
      <t>Efectividad del 100%</t>
    </r>
  </si>
  <si>
    <r>
      <rPr>
        <b/>
        <sz val="11"/>
        <rFont val="Arial"/>
        <family val="2"/>
      </rPr>
      <t xml:space="preserve">Eficacia y eficiencia del 95%: </t>
    </r>
    <r>
      <rPr>
        <sz val="11"/>
        <rFont val="Arial"/>
        <family val="2"/>
      </rPr>
      <t xml:space="preserve">el centro de Regionalización cumple con la gestión para la aprobación de la politica en los tiempos establecidos.
</t>
    </r>
    <r>
      <rPr>
        <b/>
        <sz val="11"/>
        <rFont val="Arial"/>
        <family val="2"/>
      </rPr>
      <t xml:space="preserve">
Gestión del 80%</t>
    </r>
    <r>
      <rPr>
        <sz val="11"/>
        <rFont val="Arial"/>
        <family val="2"/>
      </rPr>
      <t xml:space="preserve">: se espera que el Centro de Regionalización siga impulsando la aprobación de la Política.
</t>
    </r>
    <r>
      <rPr>
        <b/>
        <sz val="11"/>
        <rFont val="Arial"/>
        <family val="2"/>
      </rPr>
      <t>Sin evaluar efectividad.</t>
    </r>
  </si>
  <si>
    <r>
      <rPr>
        <b/>
        <sz val="11"/>
        <rFont val="Arial"/>
        <family val="2"/>
      </rPr>
      <t>Eficacia y eficiencia del 50%</t>
    </r>
    <r>
      <rPr>
        <sz val="11"/>
        <rFont val="Arial"/>
        <family val="2"/>
      </rPr>
      <t xml:space="preserve">: el centro de Regionalización cumple con la gestión para la Acuerdo 105 de 1993, Artículo 49, Numeral 11, respecto de las sedes académico administrativas fuera de los tiempos establecidos.
</t>
    </r>
    <r>
      <rPr>
        <b/>
        <sz val="11"/>
        <rFont val="Arial"/>
        <family val="2"/>
      </rPr>
      <t>Gestión del 100%</t>
    </r>
    <r>
      <rPr>
        <sz val="11"/>
        <rFont val="Arial"/>
        <family val="2"/>
      </rPr>
      <t xml:space="preserve">: se presenta evidencia de la gestión ralizada ante el comite directivo para la modificación del acuerdo 105.
</t>
    </r>
    <r>
      <rPr>
        <b/>
        <sz val="11"/>
        <rFont val="Arial"/>
        <family val="2"/>
      </rPr>
      <t>Impacto del 100%</t>
    </r>
    <r>
      <rPr>
        <sz val="11"/>
        <rFont val="Arial"/>
        <family val="2"/>
      </rPr>
      <t xml:space="preserve">: El comité directivo aprueba la modificación del Acuerdo AS 105 de 1993, Artículo 49, Numeral 11, respecto de las sedes académico administrativas.
</t>
    </r>
    <r>
      <rPr>
        <b/>
        <sz val="11"/>
        <rFont val="Arial"/>
        <family val="2"/>
      </rPr>
      <t xml:space="preserve">Efectividad del 83,33%: </t>
    </r>
    <r>
      <rPr>
        <sz val="11"/>
        <rFont val="Arial"/>
        <family val="2"/>
      </rPr>
      <t>Para el seguimiento con corte diciembre 2024, el centro de Regionalización mediante oficio 4.1-55.6/29 del 29/01/2025 presenta: oficio 4.1-55.6/ 565 del 14/08/2024 dirigido a la OPDI solicitando concepto sobre sedes universitarias, lo que evidencia que el Centro de Regionalización continua con el impulso a la modificación del acuerdo.</t>
    </r>
  </si>
  <si>
    <r>
      <rPr>
        <b/>
        <sz val="11"/>
        <rFont val="Arial"/>
        <family val="2"/>
      </rPr>
      <t>Eficacia y eficiencia del 79%:</t>
    </r>
    <r>
      <rPr>
        <sz val="11"/>
        <rFont val="Arial"/>
        <family val="2"/>
      </rPr>
      <t xml:space="preserve"> el centro de Regionalización cumple con la gestión para la identificación de las necesidades de ajuste de las normas internas, pero por fuera de los tiempos establecidos.
</t>
    </r>
    <r>
      <rPr>
        <b/>
        <sz val="11"/>
        <rFont val="Arial"/>
        <family val="2"/>
      </rPr>
      <t>Gestión e impacto del 100%</t>
    </r>
    <r>
      <rPr>
        <sz val="11"/>
        <rFont val="Arial"/>
        <family val="2"/>
      </rPr>
      <t xml:space="preserve">: se presenta evidencia de la identificación de necesidades para el ajuste del  las necesidades y realiza las gestiones pertinentes para su aprobación.
</t>
    </r>
    <r>
      <rPr>
        <b/>
        <sz val="11"/>
        <rFont val="Arial"/>
        <family val="2"/>
      </rPr>
      <t>Efectividad del 92,86%</t>
    </r>
  </si>
  <si>
    <r>
      <rPr>
        <b/>
        <sz val="11"/>
        <rFont val="Arial"/>
        <family val="2"/>
      </rPr>
      <t>Eficacia y eficiencia del 50%</t>
    </r>
    <r>
      <rPr>
        <sz val="11"/>
        <rFont val="Arial"/>
        <family val="2"/>
      </rPr>
      <t xml:space="preserve">: el centro de Regionalización cumple con la actividad pero por fuera de los tiempos establecidos.
</t>
    </r>
    <r>
      <rPr>
        <b/>
        <sz val="11"/>
        <rFont val="Arial"/>
        <family val="2"/>
      </rPr>
      <t>Gestión e impacto del 100%</t>
    </r>
    <r>
      <rPr>
        <sz val="11"/>
        <rFont val="Arial"/>
        <family val="2"/>
      </rPr>
      <t xml:space="preserve">: se presenta evidencia de la identificación de necesidades para el ajuste de las normas internas y realiza las gestiones pertinentes para su modificación.
</t>
    </r>
    <r>
      <rPr>
        <b/>
        <sz val="11"/>
        <rFont val="Arial"/>
        <family val="2"/>
      </rPr>
      <t>Efectividad del 83,33%</t>
    </r>
  </si>
  <si>
    <r>
      <rPr>
        <b/>
        <sz val="11"/>
        <rFont val="Arial"/>
        <family val="2"/>
      </rPr>
      <t>Eficacia y eficiencia del 95%</t>
    </r>
    <r>
      <rPr>
        <sz val="11"/>
        <rFont val="Arial"/>
        <family val="2"/>
      </rPr>
      <t xml:space="preserve">: el centro de Regionalización cumple con la actividad en los tiempos establecidos. Se sugiere continuar con la gestión de modificación.
</t>
    </r>
    <r>
      <rPr>
        <b/>
        <sz val="11"/>
        <rFont val="Arial"/>
        <family val="2"/>
      </rPr>
      <t>Gestión e impacto del 100%</t>
    </r>
    <r>
      <rPr>
        <sz val="11"/>
        <rFont val="Arial"/>
        <family val="2"/>
      </rPr>
      <t xml:space="preserve">: se presenta evidencia de la identificación de necesidades para el ajuste de las normas internas y realiza las gestiones pertinentes para su modificación.
</t>
    </r>
    <r>
      <rPr>
        <b/>
        <sz val="11"/>
        <rFont val="Arial"/>
        <family val="2"/>
      </rPr>
      <t>Efectividad del 98,33%</t>
    </r>
  </si>
  <si>
    <r>
      <rPr>
        <b/>
        <sz val="11"/>
        <rFont val="Arial"/>
        <family val="2"/>
      </rPr>
      <t>Eficacia y eficiencia del 95%</t>
    </r>
    <r>
      <rPr>
        <sz val="11"/>
        <rFont val="Arial"/>
        <family val="2"/>
      </rPr>
      <t xml:space="preserve">: el centro de Regionalización cumple con la actividad en los tiempos establecidos. Se sugiere continuar con la gestión de modificación.
</t>
    </r>
    <r>
      <rPr>
        <b/>
        <sz val="11"/>
        <rFont val="Arial"/>
        <family val="2"/>
      </rPr>
      <t>Gestión e impacto del 100%:</t>
    </r>
    <r>
      <rPr>
        <sz val="11"/>
        <rFont val="Arial"/>
        <family val="2"/>
      </rPr>
      <t xml:space="preserve"> se presenta evidencia de la identificación de necesidades para el ajuste de las normas internas y realiza las gestiones pertinentes para su modificación.
</t>
    </r>
    <r>
      <rPr>
        <b/>
        <sz val="11"/>
        <rFont val="Arial"/>
        <family val="2"/>
      </rPr>
      <t>Efectividad del 98,33%</t>
    </r>
  </si>
  <si>
    <r>
      <rPr>
        <b/>
        <sz val="11"/>
        <rFont val="Arial"/>
        <family val="2"/>
      </rPr>
      <t>Eficacia y eficiencia del 95%</t>
    </r>
    <r>
      <rPr>
        <sz val="11"/>
        <rFont val="Arial"/>
        <family val="2"/>
      </rPr>
      <t xml:space="preserve">: el centro de Regionalización cumple con la actividad en los tiempos establecidos. Se sugiere continuar con la gestión de modificación.
</t>
    </r>
    <r>
      <rPr>
        <b/>
        <sz val="11"/>
        <rFont val="Arial"/>
        <family val="2"/>
      </rPr>
      <t>Gestión e impacto del 100%</t>
    </r>
    <r>
      <rPr>
        <sz val="11"/>
        <rFont val="Arial"/>
        <family val="2"/>
      </rPr>
      <t xml:space="preserve">: se presenta evidencia de la identificación de necesidades para el ajuste de las normas internas y realiza las gestiones pertinentes para su modificación.
</t>
    </r>
    <r>
      <rPr>
        <b/>
        <sz val="11"/>
        <rFont val="Arial"/>
        <family val="2"/>
      </rPr>
      <t xml:space="preserve">Efectividad del 98,33%
</t>
    </r>
    <r>
      <rPr>
        <sz val="11"/>
        <rFont val="Arial"/>
        <family val="2"/>
      </rPr>
      <t>Sin evidencias de gestiones para el seguimiento con corte a diciembre 2024</t>
    </r>
  </si>
  <si>
    <t>Con oficio 4.55-6/831 del 19/06/2024 la Vicerrectoría Académica presentó:
Comunicación vía correo electrónico del 16/04/2024 enviado por el Decano de la Facultad de Derecho, Ciencias Políticas y Sociales, relacionando en el cuerpo del mensaje: tema comisión de estudio.
Comunicación vía correo electrónico del 17/06/2024 dirigido al Vicerrector de Investigaciones, con asunto: Proyecto Comisiones Académicas.
Para el segundo semestre 2024, se reporta comunicación electrónica de  fecha 03/10/2024 dirigida por el Vicerrector Académico (E), Doctor Jose Heiner Calero Cobo,  dirigida al señor Rector, donde se solicitó incluir en la sesión del Comité de Dirección la modificación del acuerdo 024.</t>
  </si>
  <si>
    <t>Con las evidencias recibidas, se puede inferir que desde la Vicerrectoría Académica se remitió a los Decanos la propuesta de modificación del Acuerdo Superior 024, esto teniendo en cuenta que se recibe una retroalimentación por parte de una decanatura, de las nueve existentes, pero no se adjunta soporte de la comunicación enviada a cada una de las Facultades y a la oficina juridica, responsables de la actividad. Por lo tanto, se asigna un avance del 10%.
Se debe revisar la ampliación de la fecha de finalización de la actividad.
La evidencia presentada no da cumplimiento al indicador definido para la actividad, correspondiente a Registros de retroalimentación realizada por parte de los Decanos. Por lo que se asigna un 40% adicional para el seguimiento con cierre diciembre 2024.</t>
  </si>
  <si>
    <t xml:space="preserve">
No se presentó avance para la actividad
.</t>
  </si>
  <si>
    <t xml:space="preserve">
Para el segundo semestre 2024
 Para el segundo semestre 2024, se conoce el Informe de Evaluacion I-2024
AS 044 de 2024,  oficio dirigido a facultades.</t>
  </si>
  <si>
    <t xml:space="preserve">
Para el II semestre 2024, no se da avance </t>
  </si>
  <si>
    <t>La comunicación relacionada en el oficio 4-55.6/815, menciona las preguntas actuales sobre la evaluación profesoral, solicitando sugerencia de cambios y observaciones al cuestionario, pero no se evidencia que desde la VRA se haya impulsado una propuesta que contemple criterios claros y precisos que permitan la evaluación profesoral. Igualmente, la solicitud de acompañamiento a los decanos para esta actividad se realiza sobre los tiempo de cierre de la misma, programando su retroalimentación para el 26/07/2024, razón por la cual, se asigna un 10% de avance a la actividad.
Se debe revisar la ampliación de la fecha de finalización de la actividad.
Para el segundo semestre 2024, se evidencia la revisión de preguntas de la evaluación profesoral.</t>
  </si>
  <si>
    <t xml:space="preserve">
Para el segundos semestre 2024
Se presenta cuestionario</t>
  </si>
  <si>
    <t>Con oficio 4.55-6/831 del 19/06/2024 la Vicerrectoría Académica presentó:
Formato: Matriz de Riesgos, código PE-GE-2.4-FOR 59 del 16/02/2022, versión 3 Riesgo identificado: SUSPENDER EL SEGUIMIENTO DE LA EVALUACIÓN DE LOS PROFESORES CON RESULTADOS INFERIORES A 7.0 PUNTOS 
Según oficio 4-55.6/107 del 31/01/2025,Seguimiento Plan de Mejoramiento 2024-2. Solicita ampliación del plazo hasta el 30 de octubre 2025</t>
  </si>
  <si>
    <t>Se identificó un riesgo para el proceso de evaluación del desempeño docente, en el formato definido por la OPDI, sin embargo, aún no se encuentra incluido en el Mapa de riesgos de la Universidad del Cauca
Se asigna avance del 90%, pendiente la visibilización en el mapa de riesgos institucional.
Se debe revisar la ampliación de la fecha de finalización de la actividad.
Para el segundo semestre 2024
Se solicita ampliación hasta el 30 de octubre 2025, para adelantar la gestión ante la oficina de OPDI.</t>
  </si>
  <si>
    <t>El acta 4.3-58/13 del 3/05/24 trata el tema: "Avance plan de capacitación profesoral que hace parte del plan de mejoramiento suscrito con la Oficina de Control Interno", establece responsabilidades para la identificación de necesidades de capacitación profesoral y la mejora a la guía del plan de capacitación.
El documento "scaneo plan de capacitación varias facultades", consolida 17 planes de capacitación de diferentes departamentos, información que no es consistente con lo reportado en la Matriz Excel: "planes de capacitación 2024-1", que consolida la entrega de 40 planes.
En la Carpeta comprimida: "PC 2024", de los 22 documento 4 no reportan la información en el formato establecido por la VRA, ocasionando que la consolidación del plan de capacitación general, no cuente con todos los requerimientos solicitados, o estos sean parciales.
Por lo anterior, se evidencia la identificación de necesidades de capacitación de docentes de la universidad, sin embargo, es necesario impulsar el uso del formato definido por la VRA. 
Se asigna avance del 90%.
En el segundo semestre 2024, 
 se realizó Consolidado y no se evidencia la articulación  con los planes de acción de las facultades y las oportunidades de mejora resultantes del informe de autoevaluación para el proceso de reacreaditación Institucional.</t>
  </si>
  <si>
    <r>
      <t>En el Capitulo IX del Acuerdo Superior 024 de 1993, se establecen los parametros para la capacitación docente, en su Articulo 72 se indica como se podrá dar el desarrollo de la capacitación: "</t>
    </r>
    <r>
      <rPr>
        <i/>
        <sz val="11"/>
        <rFont val="Arial"/>
        <family val="2"/>
      </rPr>
      <t xml:space="preserve">Para desarrollar el Plan de capacitación la Universidad podrá otorgar comisiones de estudio, becas o años sabáticos con el objetivo de que los profesores adelanten programas de formación avanzada ... </t>
    </r>
    <r>
      <rPr>
        <sz val="11"/>
        <rFont val="Arial"/>
        <family val="2"/>
      </rPr>
      <t>", igualmente, el Informe 2.6-52.18/08 de 2018 de Evaluación al Procedimiento de Comisiones Académicas, enfoca el hallazgo en dicho Articulo del Acuerdo Superior.
Por lo anterior y evidenciando que se consolido y sistematizó la información general de los planes de capacitación profesoral de la Universidad, se da un avence del 100% de cumplimiento.</t>
    </r>
  </si>
  <si>
    <t xml:space="preserve">
Para el segundo semestre 2024
Se presenta formato  Plan de Capacitación Profesoral Código: PM-FO-4-FOR-82 Versión 1  Actualizado a 29/01/2025  
</t>
  </si>
  <si>
    <t xml:space="preserve">
Para el segundo semestre 2024
Se presenta avance en la actualización del formato  Plan de Capacitación Profesora PM-FO-4-FOR-82 . Actualizado a 29/01/2025, se elaborá el procedimiento de planes de capacitación con necesidades priorizadas.
</t>
  </si>
  <si>
    <t>Con oficio 4.55-6/831 del 19/06/2024 la Vicerrectoría Académica presentó:
Resolución R-901 del 6 de septiembre de 2023 por la cual se reglamenta los requisitos para la autorización de las comisiones académicas al interior y exterior.
Documento de propuesta de modificación parcial del Acuerdo Superior 024 de 1993, correspondiente al Capítulo XIV, Artículos 117, 120, 121,  121A. y 122.
Según oficio 4-55.6/107 del 31/01/2025,Seguimiento Plan de Mejoramiento 2024-2. Solicita ampliación del plazo hasta el 30 de noviembre 2025</t>
  </si>
  <si>
    <t>Debido a que el hallazgo es producto de la evaluación al Procedimiento de Comisiones Académicas realizado en la vigencia 2018 (informe 2.6-52.18/08), la Resolución R-901 de 2023 se consolida como soporte para el avance de la actividad.
Al revisar el documento propuesta del Acuerdo Superior se evidencia la modificación del artículo 117: comisión académica, artículo 120: comisión de estudios, artículo 121: requisitos para otorgar la comisión de estudios, artículo 121A: dedicación de la comisión de estudios al interior del país. artículo 122: derechos y obligaciones del profesor en comisión de estudios, el cual esta a la espera de su aprobación.
Por lo anterior, se da un avance a la actividad del 50%, el 50% restante está sujeto a la aprobación de la reglamentación. 
Para el segundo semestre 2024
No se presentan evidencias</t>
  </si>
  <si>
    <t>Con oficio 4.55-6/831 del 19/06/2024 la Vicerrectoría Académica presentó:
PM-FO-4-FOR-18 Solicitud de Autorización para Comisión Académica al Interior del país, versión 3 de abril de 2024.
PM-FO-4-FOR-20 Solicitud de autorización comisión académica al exterior del país, versión 2 de abril de 2024.
Según oficio 4-55.6/107 del 31/01/2025,Seguimiento Plan de Mejoramiento 2024-2</t>
  </si>
  <si>
    <t xml:space="preserve">Se evidencia la modificación a los formatos existentes para comisión académica, sin evidencia de solicitud de publicación.
La VRA informa que la documentación del procedimiento esta sujeto a la modificación del Acuerdo Superior 024 de 1993, correspondiente al Capítulo XIV.
Se da un avance del 10%, debido a que se han realizado acciones en procura de la mejora del hallazgo.
Para el segundo semestre 2024
No se presentan evidencias
</t>
  </si>
  <si>
    <t>I semestre 2024: 
No se presentó avance para la actividad, debido a que depende de la realización de otra actividad.
Para el segundo semestre 2024
No se presentan evidencias</t>
  </si>
  <si>
    <t xml:space="preserve">
Según oficio 4-55.6/107 del 31/01/2025,Seguimiento Plan de Mejoramiento 2024-2.
 Actas de general para actividades universitarias:
PE-GS-2.2.1-FOR-22 Versión 1 11/03/2019, acta sin número,  fecha 14/03/2024. Temas: Levantamiento de información de los procesos y procedimientos y diagnóstico del procedimiento de reconocimiento.
PE-GS-2.2.1-FOR-22 Versión 1 11/03/2019, acta sin número, fecha 19/03/2024, temas: Diagnóstico de convenios y viabilidad academica.
PE-GS-2.2.1-FOR-22 Versión 1 11/03/2019, acta sin número, fecha 11/03/2024, temas: Diagnóstico de convenios y viabilidad academica.
Registro de asistencia  a Eventos Institucionales :
 15/02/2024 ,29/02/2024  y 10/04/2024 Diagnóstico procedimiento  para reconocimiento honorario profesor invitados, estimulos econocomicos. 
Actualización del formato:
 PM-FO-4-PR-45 Versión 1 fecha de actualización 19/06/2024 Trámite y pago de estimulos Económicos.
PE-GS-2.2.1-FOR-1 Solicitud de Creación, Modificación o baja de documentos: PM-FO-4 PR-45 trámite y pago de estímulos Económicos,
PA-GA-5-FOR-51 Lista de chequeo de estímulos Económicos . 
Actualización del formato:
Lista de chequeo Estimulos Económicos PA-GA-5-FOR-51, versión 1 del 19/06/2024.
Solicitud de creación, modificación o baja de documentos: PE-GS-2.2.1-FOR-1, versión 9 del 19/06/2024</t>
  </si>
  <si>
    <t xml:space="preserve">Para el segundos semestre 2024
Se da cumplimiento con Diseñar y documentar el procedimiento  de estimulos economicos públicado
</t>
  </si>
  <si>
    <r>
      <rPr>
        <b/>
        <sz val="11"/>
        <rFont val="Arial"/>
        <family val="2"/>
      </rPr>
      <t>Sin evaluar efectividad
Promedio y Eficacia del 100%</t>
    </r>
    <r>
      <rPr>
        <sz val="11"/>
        <rFont val="Arial"/>
        <family val="2"/>
      </rPr>
      <t xml:space="preserve">: se presento el documento modificado en los tiempos estipulados.
</t>
    </r>
    <r>
      <rPr>
        <b/>
        <sz val="11"/>
        <rFont val="Arial"/>
        <family val="2"/>
      </rPr>
      <t>Gestión del 100%</t>
    </r>
    <r>
      <rPr>
        <sz val="11"/>
        <rFont val="Arial"/>
        <family val="2"/>
      </rPr>
      <t xml:space="preserve">: el documento presentado propone la reglamentación de  los aspectos no previstos sobre la comisión de estudios contemplados en el Estatuto Profesoral.
</t>
    </r>
  </si>
  <si>
    <r>
      <rPr>
        <b/>
        <sz val="11"/>
        <rFont val="Arial"/>
        <family val="2"/>
      </rPr>
      <t>Efectividad 100%
Promedio y Eficacia 100%</t>
    </r>
    <r>
      <rPr>
        <sz val="11"/>
        <rFont val="Arial"/>
        <family val="2"/>
      </rPr>
      <t xml:space="preserve">: se presento el documento modificado en los tiempos estipulados.
</t>
    </r>
    <r>
      <rPr>
        <b/>
        <sz val="11"/>
        <rFont val="Arial"/>
        <family val="2"/>
      </rPr>
      <t>Gestión - Impacto del 100%</t>
    </r>
    <r>
      <rPr>
        <sz val="11"/>
        <rFont val="Arial"/>
        <family val="2"/>
      </rPr>
      <t>: el documento presentado propone la reglamentación de  los aspectos no previstos.</t>
    </r>
  </si>
  <si>
    <r>
      <rPr>
        <b/>
        <sz val="11"/>
        <rFont val="Arial"/>
        <family val="2"/>
      </rPr>
      <t>Efectividad 100%
Promedio y Eficacia  100%</t>
    </r>
    <r>
      <rPr>
        <sz val="11"/>
        <rFont val="Arial"/>
        <family val="2"/>
      </rPr>
      <t xml:space="preserve">: se presento el documento modificado en los tiempos estipulados.
</t>
    </r>
    <r>
      <rPr>
        <b/>
        <sz val="11"/>
        <rFont val="Arial"/>
        <family val="2"/>
      </rPr>
      <t>Gestión - Impacto del 100%</t>
    </r>
    <r>
      <rPr>
        <sz val="11"/>
        <rFont val="Arial"/>
        <family val="2"/>
      </rPr>
      <t>:  se evidencia el compromiso de comunicar a las nueve facultades</t>
    </r>
  </si>
  <si>
    <r>
      <rPr>
        <b/>
        <sz val="11"/>
        <rFont val="Arial"/>
        <family val="2"/>
      </rPr>
      <t>Sin evaluar efectividad
Promedio y Eficacia del 100%</t>
    </r>
    <r>
      <rPr>
        <sz val="11"/>
        <rFont val="Arial"/>
        <family val="2"/>
      </rPr>
      <t xml:space="preserve">: se presento el Documento Proyecto de resolución calificación profesoral en los tiempos estipulados.
</t>
    </r>
    <r>
      <rPr>
        <b/>
        <sz val="11"/>
        <rFont val="Arial"/>
        <family val="2"/>
      </rPr>
      <t>Gestión del 100%</t>
    </r>
    <r>
      <rPr>
        <sz val="11"/>
        <rFont val="Arial"/>
        <family val="2"/>
      </rPr>
      <t>: Proyecto de resolución presentado contiene criterios generales para la motivación de las Resoluciones.</t>
    </r>
  </si>
  <si>
    <r>
      <rPr>
        <b/>
        <sz val="11"/>
        <rFont val="Arial"/>
        <family val="2"/>
      </rPr>
      <t>Efectividad del 31.67%
Eficacia y Eficiencia del 95%</t>
    </r>
    <r>
      <rPr>
        <sz val="11"/>
        <rFont val="Arial"/>
        <family val="2"/>
      </rPr>
      <t xml:space="preserve">: Se identificó y documentó el riesgo para la evaluación del desempeño docente.
</t>
    </r>
    <r>
      <rPr>
        <b/>
        <sz val="11"/>
        <rFont val="Arial"/>
        <family val="2"/>
      </rPr>
      <t>Gestión e impacto del 0%</t>
    </r>
    <r>
      <rPr>
        <sz val="11"/>
        <rFont val="Arial"/>
        <family val="2"/>
      </rPr>
      <t>: El riesgo identificado presenta debilidades por cuanto no cumple satisfactoriamente con la Metodología para la Administración del Riesgo de la Universidad del Cauca, en cuanto a: La redacción no describe de manera clara la situación generadora de riesgo que impacte al cumplimiento de los objetivos; las causas que pueden originar el riesgo no estan debidamente identificadas, por lo tanto los controles no son efectivos.
La OCI recomienda solicitar asesoria a la Oficina de Planeación y Desarrollo Institucional para la identificación de causas y mayor claridad en la definición del riesgo.</t>
    </r>
  </si>
  <si>
    <r>
      <rPr>
        <b/>
        <sz val="11"/>
        <rFont val="Arial"/>
        <family val="2"/>
      </rPr>
      <t xml:space="preserve">Efectividad del 78.33%
</t>
    </r>
    <r>
      <rPr>
        <sz val="11"/>
        <rFont val="Arial"/>
        <family val="2"/>
      </rPr>
      <t xml:space="preserve">
</t>
    </r>
    <r>
      <rPr>
        <b/>
        <sz val="11"/>
        <rFont val="Arial"/>
        <family val="2"/>
      </rPr>
      <t>Promedio y Eficacia 95%</t>
    </r>
    <r>
      <rPr>
        <sz val="11"/>
        <rFont val="Arial"/>
        <family val="2"/>
      </rPr>
      <t xml:space="preserve">: la información reportada no es consistente, imposibilitando determinar el total de departamentos que reportaron la información; igualmente se encontró duplicidad de información, con enmendaduras, y aplicación inadecauda de las normas de gestión documental.
Ajustar el Formato Guia Plan de Desarrollo Profesoral, en lo relacionado con  la Resolución de aprobación de la capacitación, esto debido a que en algunos planes enviados por las Facultades se relacionan actos administrativos de manera individual y en otros de manera global, o las dos al tiempo, lo que puede generar confusión.
</t>
    </r>
    <r>
      <rPr>
        <b/>
        <sz val="11"/>
        <rFont val="Arial"/>
        <family val="2"/>
      </rPr>
      <t>Gestión- Impacto del 70%:</t>
    </r>
    <r>
      <rPr>
        <sz val="11"/>
        <rFont val="Arial"/>
        <family val="2"/>
      </rPr>
      <t xml:space="preserve"> Algunas Facultades no utilizan el formato establecido por la VRA para el reporte de la información, ocasionando que la consolidación del plan de capacitación general no cuente con todos los requerimientos solicitados, o estos sean parciales.</t>
    </r>
  </si>
  <si>
    <r>
      <rPr>
        <b/>
        <sz val="11"/>
        <rFont val="Arial"/>
        <family val="2"/>
      </rPr>
      <t xml:space="preserve">Efectividad del 100%
</t>
    </r>
    <r>
      <rPr>
        <sz val="11"/>
        <rFont val="Arial"/>
        <family val="2"/>
      </rPr>
      <t xml:space="preserve">
</t>
    </r>
    <r>
      <rPr>
        <b/>
        <sz val="11"/>
        <rFont val="Arial"/>
        <family val="2"/>
      </rPr>
      <t>Gestión del 100%</t>
    </r>
    <r>
      <rPr>
        <sz val="11"/>
        <rFont val="Arial"/>
        <family val="2"/>
      </rPr>
      <t xml:space="preserve">: se presenta el plan de capacitación profesoral en los tiempos establecidos.
</t>
    </r>
    <r>
      <rPr>
        <b/>
        <sz val="11"/>
        <rFont val="Arial"/>
        <family val="2"/>
      </rPr>
      <t>Impacto del 100%</t>
    </r>
    <r>
      <rPr>
        <sz val="11"/>
        <rFont val="Arial"/>
        <family val="2"/>
      </rPr>
      <t>: la VRA cuenta con un plan de capacitación que consolida la información de todas las facultades referente a docentes en proceso de capacitación de la vigencia 2023 y 2024, lo que permite contar con estadisticas para seguimiento y control.</t>
    </r>
  </si>
  <si>
    <r>
      <rPr>
        <b/>
        <sz val="11"/>
        <rFont val="Arial"/>
        <family val="2"/>
      </rPr>
      <t xml:space="preserve">
</t>
    </r>
    <r>
      <rPr>
        <sz val="11"/>
        <rFont val="Arial"/>
        <family val="2"/>
      </rPr>
      <t xml:space="preserve">
Efectividad del 80%
Promedio y Eficacia 100%, Se evidencia en las dierentes actividades universitarias el trabajo para el levantamiento y diagnóstico al procedimiento.
Gestión- Impacto del 70%: Algunas Facultades no utilizan el formato establecido por la VRA para el reporte de la información, ocasionando que la consolidación del plan de capacitación general no cuente con todos los requerimientos solicitados, o estos sean parciales.</t>
    </r>
  </si>
  <si>
    <r>
      <rPr>
        <b/>
        <sz val="11"/>
        <rFont val="Arial"/>
        <family val="2"/>
      </rPr>
      <t>Eficacia y eficiencia del 95%</t>
    </r>
    <r>
      <rPr>
        <sz val="11"/>
        <rFont val="Arial"/>
        <family val="2"/>
      </rPr>
      <t xml:space="preserve">: se cumple con la actividad en los tiempos establecidos.
</t>
    </r>
    <r>
      <rPr>
        <b/>
        <sz val="11"/>
        <rFont val="Arial"/>
        <family val="2"/>
      </rPr>
      <t>Gestión 90%</t>
    </r>
    <r>
      <rPr>
        <sz val="11"/>
        <rFont val="Arial"/>
        <family val="2"/>
      </rPr>
      <t xml:space="preserve">: el acta evidencia la toma de decisiones respecto a la modificación y/o ajustes de la herramienta de control y seguimiento aplicada por la División de TIC, sin embargo no se encuentran evidencias para la modificación del formato.
</t>
    </r>
    <r>
      <rPr>
        <b/>
        <sz val="11"/>
        <rFont val="Arial"/>
        <family val="2"/>
      </rPr>
      <t xml:space="preserve">Impacto 60%: </t>
    </r>
    <r>
      <rPr>
        <sz val="11"/>
        <rFont val="Arial"/>
        <family val="2"/>
      </rPr>
      <t xml:space="preserve">Revisada la hoja de ruta se encuentra que las decisiones tomadas en las mesas de trabajo no fueron implementadas en dicha herramienta de control y seguimiento.
</t>
    </r>
    <r>
      <rPr>
        <b/>
        <sz val="11"/>
        <rFont val="Arial"/>
        <family val="2"/>
      </rPr>
      <t>Efectividad 81.67%</t>
    </r>
  </si>
  <si>
    <r>
      <rPr>
        <b/>
        <sz val="11"/>
        <rFont val="Arial"/>
        <family val="2"/>
      </rPr>
      <t>Eficacia y eficiencia del 95%</t>
    </r>
    <r>
      <rPr>
        <sz val="11"/>
        <rFont val="Arial"/>
        <family val="2"/>
      </rPr>
      <t xml:space="preserve">: se cumple con la actividad en los tiempos establecidos.
</t>
    </r>
    <r>
      <rPr>
        <b/>
        <sz val="11"/>
        <rFont val="Arial"/>
        <family val="2"/>
      </rPr>
      <t xml:space="preserve">Gestión 100%: </t>
    </r>
    <r>
      <rPr>
        <sz val="11"/>
        <rFont val="Arial"/>
        <family val="2"/>
      </rPr>
      <t xml:space="preserve">el documento presentado evidencia la modificación de la hoja de ruta.
</t>
    </r>
    <r>
      <rPr>
        <b/>
        <sz val="11"/>
        <rFont val="Arial"/>
        <family val="2"/>
      </rPr>
      <t xml:space="preserve">
Impacto 50%: </t>
    </r>
    <r>
      <rPr>
        <sz val="11"/>
        <rFont val="Arial"/>
        <family val="2"/>
      </rPr>
      <t>Revisada la hoja de ruta se encuentra que las decisiones tomadas en las mesas de trabajo no fueron implementadas en dicha herramienta de control y seguimiento</t>
    </r>
    <r>
      <rPr>
        <b/>
        <sz val="11"/>
        <rFont val="Arial"/>
        <family val="2"/>
      </rPr>
      <t>.
Efectividad 81.67%</t>
    </r>
  </si>
  <si>
    <r>
      <rPr>
        <b/>
        <sz val="11"/>
        <rFont val="Arial"/>
        <family val="2"/>
      </rPr>
      <t>Eficacia y eficiencia del 100%</t>
    </r>
    <r>
      <rPr>
        <sz val="11"/>
        <rFont val="Arial"/>
        <family val="2"/>
      </rPr>
      <t xml:space="preserve">: se cumple con la actividad en los tiempos establecidos.
</t>
    </r>
    <r>
      <rPr>
        <b/>
        <sz val="11"/>
        <rFont val="Arial"/>
        <family val="2"/>
      </rPr>
      <t xml:space="preserve">Gestión e impacto del 100%: </t>
    </r>
    <r>
      <rPr>
        <sz val="11"/>
        <rFont val="Arial"/>
        <family val="2"/>
      </rPr>
      <t xml:space="preserve">el documento presentado evidencia la toma de decisiones para la modificación, actualización y/o eliminación de iniciativas.
</t>
    </r>
    <r>
      <rPr>
        <b/>
        <sz val="11"/>
        <rFont val="Arial"/>
        <family val="2"/>
      </rPr>
      <t xml:space="preserve">
Efectividad 100%</t>
    </r>
  </si>
  <si>
    <r>
      <rPr>
        <b/>
        <sz val="11"/>
        <rFont val="Arial"/>
        <family val="2"/>
      </rPr>
      <t>Eficacia y eficiencia del 95%</t>
    </r>
    <r>
      <rPr>
        <sz val="11"/>
        <rFont val="Arial"/>
        <family val="2"/>
      </rPr>
      <t xml:space="preserve">: se cumple con la actividad en los tiempos establecidos.
</t>
    </r>
    <r>
      <rPr>
        <b/>
        <sz val="11"/>
        <rFont val="Arial"/>
        <family val="2"/>
      </rPr>
      <t xml:space="preserve">Gestión e impacto 100%: </t>
    </r>
    <r>
      <rPr>
        <sz val="11"/>
        <rFont val="Arial"/>
        <family val="2"/>
      </rPr>
      <t xml:space="preserve">el documento presentado evidencia la modificación de las iniciativas para la implementación del plan estrategico.
</t>
    </r>
    <r>
      <rPr>
        <b/>
        <sz val="11"/>
        <rFont val="Arial"/>
        <family val="2"/>
      </rPr>
      <t xml:space="preserve">
Efectividad 98.33%</t>
    </r>
  </si>
  <si>
    <t>I Semestre 2024:
La División de Gestión Financiera mediante oficio 5.2-55.6/0628 del 12/07/2024 remitió:
1. Concepto 20192000068901 del 02-Dic-2019 de la Contaduría General de la Nación
2. Concepto 2.5-24.1/020 del 22-Mar-2022 Oficina Jurídica
3. Concepto 2.5-14.1/024 del 14-03-2024 Oficina Jurídica
4. Modelo Resolución de pérdida de competencia para liquidar
5. Relación de saldos de anticipos sobre convenios y acuerdos, objeto de hallazgo vigencias 2020 - 2021 en archivo excel
6. oficio 5.2-55.6/0568 del 17-Jun-2024 solicitud de concepto a la Oficina Asesora Jurídica
II semestre 2024:
La División de Gestión Financiera con 5.2-55.6/1254 del 20/12/2024 remitió: 
1. Relación de notas de contabilidad segundo semestre de 2024 amortización de anticipos por $113.758.876:
R900-202400014 AL R900-202400019 DEL 18-SEP-2024, R900-202400020 AL R900-202400025 
DEL 19-SEP-2024 y R900-202400026 DEL 20-SEP-2024
Nota Crédito de reintegro de recursos no ejecutados: BMBA R803-202400014 DEL 16-DIC-2024
2. Acta de Comité de Sostenibilidad Contable 5.2-3.7/0002 del 12-Dic-2024</t>
  </si>
  <si>
    <t xml:space="preserve">I Semestre 2024: 
La División de Gestión Financiera expuso que existen convenios y contratos de vigencias anteriores finalizados y sin liquidar, situación que impide el avance en la actividad, por lo que ha solicitado conceptos a la Contaduría General de la Nación y a la Oficina Jurídica, en los que se dé claridad a las acciones a tomar en estos casos, por la pérdida de competencia de la División para la Depuración, sin embargo, la División informó que dichos conceptos se contradicen, por lo que la División envió una nueva solicitud a la Oficina Jurídica para la revisión de conceptos jurídicos sobre convenios y contratos pendientes de liquidación - Depuración Contable - Recursos no ejecutados, por lo que el avance se mantiene en 68%.
II Semestre 2024: 
En la revisión a las evidencias reportadas por la División de Gestión Financiera, se observó que los avances a la depuración corresponden a la Cuenta Contable 1.9.06.01 ANTICIPOS SOBRE CONVENIOS Y ACUERDOS. 
Sin embargo, la OCI generó reportes de las subcuentas 190514 Bienes y servicios pagados por anticipado y 190604 Anticipo para adquisición de bienes y servicios, en los que observó que ya se realizaron los ajustes de la subcuenta 190514, así como la amortización de algunos saldos de la subcuenta 190604, quedando pendiente la depuración del 67% de los terceros relacionados en la muestra tomada por la CGR en la auditoría a la vigencia 2021, (Tabla 25). 
Con base en lo anterior, y para determinar el porcentaje de avance del hallazgo, la OCI otorgó el 50% por los ajustes a la subcuenta 190514 y el 23% a la subcuenta 190604. 
De otra parte, en el Comité de Sostenibilidad Contable se informó que no se tenía evidencia de la terminación contractual ni liquidación de los Contratos de Interventoría, impidiendo la depuración y amortización de los anticipos, por lo que se acordó solicitar ampliación de la fecha de finalización, y se coordinarán reuniones entre las áreas involucradas para analizar los casos pendientes y definir acciones concretas para resolver los saldos no amortizados (Acta 5.2-3.7/0002 del 12/12/2024)
En conclusión, se observaron las gestiones por parte de la División de Gestión Financiera para la depuración y amortización de los anticipos, pero de acuerdo con la Oficina Jurídica, no se tiene certeza de la terminación contractual o liquidación de algunos contratos o convenios, y la falta de actas de liquidación impide la depuración y amortización de estos anticipos de la subcuenta 190604. 
Por lo anterior, se otorga un avance del 73%, cuyo 27% se sujeta a la depuración de los terceros faltantes de la tabla 25 del informe de auditoría de la CGR 2021, así como la verificación de la efectividad con la totalidad de la cuenta. </t>
  </si>
  <si>
    <t>La División de Gestión Financiera mediante oficio 5.2-55.6/0628 del 12/07/2024 remitió:
1. Concepto 20192000068901 del 02-Dic-2019 de la Contaduría General de la Nación
2. Concepto 2.5-24.1/020 del 22-Mar-2022 Oficina Jurídica
3. Concepto 2.5-14.1/024 del 14-03-2024 Oficina Jurídica
4. Modelo Resolución de pérdida de competencia para liquidar
5. Relación de saldos de anticipos sobre convenios y acuerdos, objeto de hallazgo vigencias 2020 - 2021 en archivo excel
6. oficio 5.2-55.6/0568 del 17-Jun-2024 solicitud de concepto a la Oficina Asesora Jurídica
II semestre 2024:
La División de Gestión Financiera con 5.2-55.6/1254 del 20/12/2024 remitió: 
1. Relación de notas de contabilidad segundo semestre de 2024 amortización de anticipos por $113.758.876:
R900-202400014 AL R900-202400019 DEL 18-SEP-2024, R900-202400020 AL R900-202400025 
DEL 19-SEP-2024 y R900-202400026 DEL 20-SEP-2024
Nota Crédito de reintegro de recursos no ejecutados: BMBA R803-202400014 DEL 16-DIC-2024
2. Acta de Comité de Sostenibilidad Contable 5.2-3.7/0002 del 12-Dic-2024</t>
  </si>
  <si>
    <t xml:space="preserve">I Semestre 2024: 
La División de Gestión Financiera expuso que existen convenios y contratos de vigencias anteriores finalizados y sin liquidar, situación que impide el avance en la actividad, por lo que ha solicitado conceptos a la Contaduría General de la Nación y a la Oficina Jurídica, en los que se dé claridad a las acciones a tomar en estos casos, por la pérdida de competencia de la División para la Depuración, sin embargo, la División informó que dichos conceptos se contradicen, por lo que la División envió una nueva solicitud a la Oficina Jurídica para la revisión de conceptos jurídicos sobre convenios y contratos pendientes de liquidación - Depuración Contable - Recursos no ejecutados, por lo que el avance se mantiene en 91%.
II Semestre 2024: 
En la revisión a las evidencias reportadas por la División de Gestión Financiera, se observó que se avanzó en la depuración de la Cuenta Contable 1.9.06.01 ANTICIPOS SOBRE CONVENIOS Y ACUERDOS, por un valor de $113.758.876, sin embargo, en el Comité de Sostenibilidad Contable se informó que aún están pendientes algunos saldos por reintegro de la Vicerrectoría de Investigaciones, correspondiente a recursos no ejecutados del Sistema General de Regalías, por lo que se acordó solicitar ampliación de la fecha de finalización, y se coordinarán reuniones entre las áreas involucradas para analizar los casos pendientes y definir acciones concretas para resolver los saldos no amortizados (Acta 5.2-3.7/0002 del 12/12/2024). 
Así mismo, la OCI generó el reporte de saldos de la subcuenta, en el que obsevó saldos por amortizar, por lo que el avance se mantiene en 91%, sujeto a la depuración de los terceros faltantes de la tabla 25 del informe de auditoría de la CGR 2020, así como la verificación de la efectividad con la totalidad de la cuenta. </t>
  </si>
  <si>
    <t xml:space="preserve">I Semestre 2024: 
La División de Gestión Financiera expuso que existen convenios y contratos de vigencias anteriores finalizados y sin liquidar, situación que impide el avance en la actividad, por lo que ha solicitado conceptos a la Contaduría General de la Nación y a la Oficina Jurídica, en los que se dé claridad a las acciones a tomar en estos casos, por la pérdida de competencia de la División para la Depuración, sin embargo, la División informó que dichos conceptos se contradicen, por lo que la División envió una nueva solicitud a la Oficina Jurídica para la revisión de conceptos jurídicos sobre convenios y contratos pendientes de liquidación - Depuración Contable - Recursos no ejecutados, por lo que el avance se mantiene en 55%.
II semestre 2024: 
En la revisión a las evidencias reportadas por la División de Gestión Financiera, se observó que los avances a la depuración corresponden a la Cuenta Contable 1.9.06.01 ANTICIPOS SOBRE CONVENIOS Y ACUERDOS, la cual mantiene el avance del seguimiento anterior, 91%.
Sin embargo, la OCI generó reportes de las subcuentas 190604 Anticipo para adquisición de bienes y servicios, y  1.9.06.01 ANTICIPOS SOBRE CONVENIOS Y ACUERDOS, en los que observó que ya se realizaron los ajustes de algunos saldos de las subcuentas, logrando la depuración:
* del 55% de los terceros relacionados en la muestra tomada por la CGR en la auditoría a la vigencia 2020, (Tabla 23). 
* del 91% de los terceros de la muestra tomada por la CGR en la auditoría a la vigencia 2020, (Tabla 25)
Siendo que esta actividad relaciona las dos subcuentas, para obtener el porcentaje de avance, se promedia los porcentajes, obteniendo un 73%. 
En conclusión, se observaron las gestiones por parte de la División de Gestión Financiera para la depuración y amortización de los anticipos, y en el Comité de Sostenibilidad Contable se informó que no se tenía evidencia de la terminación contractual ni liquidación de los Contratos de Interventoría, impidiendo la depuración y amortización de los anticipos, y aún están pendientes algunos saldos por reintegro de la Vicerrectoría de Investigaciones, correspondiente a recursos no ejecutados del Sistema General de Regalías, por lo que se acordó solicitar ampliación de la fecha de finalización, y se coordinarán reuniones entre las áreas involucradas para analizar los casos pendientes y definir acciones concretas para resolver los saldos no amortizados (Acta 5.2-3.7/0002 del 12/12/2024). 
Por lo anterior, se otorga un avance del 73%, cuyo 27% se sujeta a la depuración de los terceros faltantes, así como la verificación de la efectividad con la totalidad de la cuenta. </t>
  </si>
  <si>
    <r>
      <t xml:space="preserve">II Semestre de 2024 
La OCI conoció algunos actos administrativos de bonificaciones que reflejan los ajustes requeridos para estandarizarlos en los que se les adicionó relacionados el valor en pesos y la vigencia (año) en la cual se realizará el pago.
</t>
    </r>
    <r>
      <rPr>
        <b/>
        <sz val="11"/>
        <rFont val="Arial"/>
        <family val="2"/>
      </rPr>
      <t>La actividad se cierra</t>
    </r>
  </si>
  <si>
    <t xml:space="preserve">Mabel U </t>
  </si>
  <si>
    <t>Efectividad Diego</t>
  </si>
  <si>
    <r>
      <rPr>
        <sz val="10"/>
        <rFont val="Arial"/>
        <family val="2"/>
      </rPr>
      <t xml:space="preserve">I semestre 2024: 
Con oficio 5.1.4-55.6/215 del 19/06/2024, el Área de Seguridad y Salud en el Trabajo remitió: 
</t>
    </r>
    <r>
      <rPr>
        <u/>
        <sz val="10"/>
        <rFont val="Arial"/>
        <family val="2"/>
      </rPr>
      <t>https://portalantiguo.unicauca.edu.co/prlvmen/sites/default/files/procesos/PA-GA-5.4.1-OD-1%20Sistema%20de%20Seguridad%20y%20Salud%20en%20el%20Trabajo%20Universidad%20del%20Cauca%20v2.pdf.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</si>
</sst>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_(* #,##0.00_);_(* \(#,##0.00\);_(* &quot;-&quot;??_);_(@_)"/>
    <numFmt numFmtId="165" formatCode="dd/mm/yyyy;@"/>
    <numFmt numFmtId="166" formatCode="0.0"/>
    <numFmt numFmtId="167" formatCode="yyyy/mm/dd"/>
    <numFmt numFmtId="168" formatCode="[$-F400]h:mm:ss\ AM/PM"/>
    <numFmt numFmtId="169" formatCode="yyyy\-mm\-dd;@"/>
  </numFmts>
  <fonts count="1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b/>
      <sz val="10"/>
      <name val="Arial"/>
      <family val="2"/>
    </font>
    <font>
      <b/>
      <sz val="8"/>
      <color indexed="81"/>
      <name val="Tahoma"/>
      <family val="2"/>
    </font>
    <font>
      <sz val="8"/>
      <color indexed="81"/>
      <name val="Tahoma"/>
      <family val="2"/>
    </font>
    <font>
      <b/>
      <sz val="11"/>
      <color theme="0"/>
      <name val="Calibri"/>
      <family val="2"/>
      <scheme val="minor"/>
    </font>
    <font>
      <b/>
      <sz val="12"/>
      <name val="Arial Narrow"/>
      <family val="2"/>
    </font>
    <font>
      <b/>
      <sz val="12"/>
      <name val="Arial"/>
      <family val="2"/>
    </font>
    <font>
      <b/>
      <sz val="14"/>
      <name val="Arial Narrow"/>
      <family val="2"/>
    </font>
    <font>
      <b/>
      <sz val="9"/>
      <color indexed="81"/>
      <name val="Tahoma"/>
      <family val="2"/>
    </font>
    <font>
      <sz val="9"/>
      <color indexed="81"/>
      <name val="Tahoma"/>
      <family val="2"/>
    </font>
    <font>
      <b/>
      <sz val="11"/>
      <name val="Arial"/>
      <family val="2"/>
    </font>
    <font>
      <sz val="8"/>
      <name val="Arial"/>
      <family val="2"/>
    </font>
    <font>
      <sz val="11"/>
      <name val="Arial"/>
      <family val="2"/>
    </font>
    <font>
      <u/>
      <sz val="10"/>
      <color theme="10"/>
      <name val="Arial"/>
      <family val="2"/>
    </font>
    <font>
      <sz val="12"/>
      <color theme="1"/>
      <name val="Arial Narrow"/>
      <family val="2"/>
    </font>
    <font>
      <sz val="11"/>
      <color theme="1"/>
      <name val="Arial"/>
      <family val="2"/>
    </font>
    <font>
      <b/>
      <sz val="11"/>
      <color theme="1"/>
      <name val="Arial"/>
      <family val="2"/>
    </font>
    <font>
      <b/>
      <sz val="10"/>
      <color rgb="FF00B050"/>
      <name val="Arial"/>
      <family val="2"/>
    </font>
    <font>
      <u/>
      <sz val="11"/>
      <color theme="10"/>
      <name val="Calibri"/>
      <family val="2"/>
      <scheme val="minor"/>
    </font>
    <font>
      <b/>
      <sz val="11"/>
      <color rgb="FFFFFFFF"/>
      <name val="Calibri"/>
      <family val="2"/>
      <charset val="1"/>
    </font>
    <font>
      <sz val="11"/>
      <color rgb="FF000000"/>
      <name val="Arial"/>
      <family val="2"/>
    </font>
    <font>
      <b/>
      <sz val="14"/>
      <color theme="1"/>
      <name val="Arial Narrow"/>
      <family val="2"/>
    </font>
    <font>
      <u/>
      <sz val="11"/>
      <color theme="10"/>
      <name val="Arial"/>
      <family val="2"/>
    </font>
    <font>
      <b/>
      <sz val="12"/>
      <color rgb="FFFF0000"/>
      <name val="Arial"/>
      <family val="2"/>
    </font>
    <font>
      <sz val="10"/>
      <color rgb="FF000000"/>
      <name val="Arial"/>
      <family val="2"/>
    </font>
    <font>
      <b/>
      <sz val="16"/>
      <name val="Arial"/>
      <family val="2"/>
    </font>
    <font>
      <b/>
      <sz val="16"/>
      <name val="Arial Narrow"/>
      <family val="2"/>
    </font>
    <font>
      <sz val="10"/>
      <name val="Arial"/>
      <family val="2"/>
    </font>
    <font>
      <b/>
      <sz val="12"/>
      <color rgb="FFFFFFFF"/>
      <name val="Arial Narrow"/>
      <family val="2"/>
    </font>
    <font>
      <sz val="12"/>
      <color rgb="FFFFFFFF"/>
      <name val="Arial Narrow"/>
      <family val="2"/>
    </font>
    <font>
      <b/>
      <sz val="11"/>
      <color theme="0"/>
      <name val="Arial"/>
      <family val="2"/>
    </font>
    <font>
      <sz val="11"/>
      <color theme="0"/>
      <name val="Arial"/>
      <family val="2"/>
    </font>
    <font>
      <u/>
      <sz val="10"/>
      <color theme="10"/>
      <name val="Arial"/>
      <family val="2"/>
    </font>
    <font>
      <b/>
      <sz val="11"/>
      <color rgb="FFFF0000"/>
      <name val="Arial"/>
      <family val="2"/>
    </font>
    <font>
      <sz val="11"/>
      <color rgb="FFFFFFFF"/>
      <name val="Arial"/>
      <family val="2"/>
    </font>
    <font>
      <b/>
      <sz val="11"/>
      <color rgb="FFFFFFFF"/>
      <name val="Arial"/>
      <family val="2"/>
    </font>
    <font>
      <i/>
      <sz val="11"/>
      <color theme="1"/>
      <name val="Arial"/>
      <family val="2"/>
    </font>
    <font>
      <sz val="11"/>
      <color theme="3" tint="-0.249977111117893"/>
      <name val="Arial"/>
      <family val="2"/>
    </font>
    <font>
      <b/>
      <sz val="11"/>
      <color theme="3" tint="-0.249977111117893"/>
      <name val="Arial"/>
      <family val="2"/>
    </font>
    <font>
      <sz val="10"/>
      <color rgb="FF444444"/>
      <name val="Arial"/>
      <family val="2"/>
    </font>
    <font>
      <b/>
      <sz val="12"/>
      <color theme="0"/>
      <name val="Arial Narrow"/>
      <family val="2"/>
    </font>
    <font>
      <sz val="11"/>
      <color rgb="FF000000"/>
      <name val="Arial"/>
    </font>
    <font>
      <sz val="12"/>
      <color rgb="FF000000"/>
      <name val="Arial Narrow"/>
      <family val="2"/>
    </font>
    <font>
      <b/>
      <sz val="11"/>
      <color rgb="FF000000"/>
      <name val="Arial"/>
    </font>
    <font>
      <sz val="10"/>
      <color rgb="FF000000"/>
      <name val="Arial"/>
    </font>
    <font>
      <sz val="12"/>
      <name val="Arial Narrow"/>
      <charset val="1"/>
    </font>
    <font>
      <sz val="12"/>
      <color rgb="FF000000"/>
      <name val="Arial Narrow"/>
      <charset val="1"/>
    </font>
    <font>
      <sz val="12"/>
      <color rgb="FF000000"/>
      <name val="Arial Narrow"/>
    </font>
    <font>
      <b/>
      <u/>
      <sz val="11"/>
      <color rgb="FF000000"/>
      <name val="Arial"/>
      <family val="2"/>
    </font>
    <font>
      <b/>
      <sz val="11"/>
      <color rgb="FF000000"/>
      <name val="Arial"/>
      <family val="2"/>
    </font>
    <font>
      <sz val="11"/>
      <name val="Arial Narrow"/>
      <charset val="1"/>
    </font>
    <font>
      <sz val="11"/>
      <color rgb="FF000000"/>
      <name val="Arial Narrow"/>
      <charset val="1"/>
    </font>
    <font>
      <sz val="12"/>
      <name val="Arial Narrow"/>
      <family val="2"/>
    </font>
    <font>
      <b/>
      <sz val="11"/>
      <name val="Arial"/>
    </font>
    <font>
      <b/>
      <sz val="11"/>
      <color rgb="FFFF0000"/>
      <name val="Arial"/>
    </font>
    <font>
      <sz val="10"/>
      <color theme="7" tint="-0.249977111117893"/>
      <name val="Arial"/>
    </font>
    <font>
      <i/>
      <sz val="11"/>
      <color rgb="FF000000"/>
      <name val="Arial"/>
    </font>
    <font>
      <u/>
      <sz val="10"/>
      <color theme="10"/>
      <name val="Arial"/>
    </font>
    <font>
      <sz val="11"/>
      <color rgb="FF000000"/>
      <name val="Calibri"/>
      <family val="2"/>
    </font>
    <font>
      <sz val="11"/>
      <color rgb="FF000000"/>
      <name val="Arial"/>
      <charset val="1"/>
    </font>
    <font>
      <sz val="10"/>
      <color rgb="FFFF0000"/>
      <name val="Arial"/>
    </font>
    <font>
      <sz val="11"/>
      <name val="Arial"/>
    </font>
    <font>
      <b/>
      <sz val="11"/>
      <color theme="0"/>
      <name val="Arial"/>
    </font>
    <font>
      <sz val="11"/>
      <color theme="0"/>
      <name val="Arial"/>
    </font>
    <font>
      <b/>
      <sz val="11"/>
      <color theme="1"/>
      <name val="Arial"/>
    </font>
    <font>
      <sz val="12"/>
      <color rgb="FF000000"/>
      <name val="Arial"/>
    </font>
    <font>
      <b/>
      <sz val="12"/>
      <color rgb="FF000000"/>
      <name val="Arial Narrow"/>
      <family val="2"/>
    </font>
    <font>
      <vertAlign val="superscript"/>
      <sz val="10"/>
      <color rgb="FF000000"/>
      <name val="Arial"/>
      <family val="2"/>
    </font>
    <font>
      <sz val="12"/>
      <color rgb="FF000000"/>
      <name val="Arial"/>
      <family val="2"/>
    </font>
    <font>
      <i/>
      <sz val="10"/>
      <color rgb="FF000000"/>
      <name val="Arial"/>
      <family val="2"/>
    </font>
    <font>
      <i/>
      <sz val="11"/>
      <color rgb="FF000000"/>
      <name val="Arial"/>
      <family val="2"/>
    </font>
    <font>
      <b/>
      <sz val="14"/>
      <color rgb="FF000000"/>
      <name val="Arial Narrow"/>
      <family val="2"/>
    </font>
    <font>
      <b/>
      <sz val="13"/>
      <color rgb="FF000000"/>
      <name val="Arial Narrow"/>
      <family val="2"/>
    </font>
    <font>
      <b/>
      <sz val="12"/>
      <color rgb="FF000000"/>
      <name val="Arial"/>
      <family val="2"/>
    </font>
    <font>
      <sz val="11"/>
      <color rgb="FF222222"/>
      <name val="Arial"/>
      <family val="2"/>
      <charset val="1"/>
    </font>
    <font>
      <sz val="10"/>
      <color rgb="FF222222"/>
      <name val="Arial"/>
      <family val="2"/>
      <charset val="1"/>
    </font>
    <font>
      <sz val="12"/>
      <color rgb="FF222222"/>
      <name val="Arial"/>
      <family val="2"/>
      <charset val="1"/>
    </font>
    <font>
      <sz val="10"/>
      <color rgb="FFFF0000"/>
      <name val="Arial"/>
      <family val="2"/>
    </font>
    <font>
      <sz val="11"/>
      <color theme="1"/>
      <name val="Arial"/>
    </font>
    <font>
      <sz val="11"/>
      <color rgb="FFFFFFFF"/>
      <name val="Arial"/>
      <family val="2"/>
      <charset val="1"/>
    </font>
    <font>
      <i/>
      <sz val="11"/>
      <name val="Arial"/>
      <family val="2"/>
    </font>
    <font>
      <u/>
      <sz val="11"/>
      <name val="Arial"/>
      <family val="2"/>
    </font>
    <font>
      <u/>
      <sz val="10"/>
      <name val="Arial"/>
      <family val="2"/>
    </font>
    <font>
      <b/>
      <u/>
      <sz val="11"/>
      <name val="Arial"/>
      <family val="2"/>
    </font>
    <font>
      <sz val="12"/>
      <name val="Arial"/>
      <family val="2"/>
    </font>
    <font>
      <i/>
      <sz val="12"/>
      <name val="Arial"/>
      <family val="2"/>
    </font>
    <font>
      <sz val="11"/>
      <name val="Calibri"/>
      <family val="2"/>
    </font>
    <font>
      <b/>
      <sz val="11"/>
      <name val="Calibri"/>
      <family val="2"/>
    </font>
  </fonts>
  <fills count="47">
    <fill>
      <patternFill patternType="none"/>
    </fill>
    <fill>
      <patternFill patternType="gray125"/>
    </fill>
    <fill>
      <patternFill patternType="solid">
        <fgColor indexed="50"/>
        <bgColor indexed="64"/>
      </patternFill>
    </fill>
    <fill>
      <patternFill patternType="solid">
        <fgColor rgb="FFFFFF00"/>
        <bgColor indexed="64"/>
      </patternFill>
    </fill>
    <fill>
      <patternFill patternType="solid">
        <fgColor theme="4" tint="-0.499984740745262"/>
        <bgColor indexed="64"/>
      </patternFill>
    </fill>
    <fill>
      <patternFill patternType="solid">
        <fgColor rgb="FFA5A5A5"/>
      </patternFill>
    </fill>
    <fill>
      <patternFill patternType="solid">
        <fgColor rgb="FF92D050"/>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0000"/>
        <bgColor indexed="64"/>
      </patternFill>
    </fill>
    <fill>
      <patternFill patternType="solid">
        <fgColor rgb="FFFFFFFF"/>
        <bgColor indexed="64"/>
      </patternFill>
    </fill>
    <fill>
      <patternFill patternType="solid">
        <fgColor rgb="FFFFFFFF"/>
        <bgColor rgb="FFFFFFFF"/>
      </patternFill>
    </fill>
    <fill>
      <patternFill patternType="solid">
        <fgColor rgb="FFA5A5A5"/>
        <bgColor rgb="FFBFBFBF"/>
      </patternFill>
    </fill>
    <fill>
      <patternFill patternType="solid">
        <fgColor rgb="FFFFC000"/>
        <bgColor indexed="64"/>
      </patternFill>
    </fill>
    <fill>
      <patternFill patternType="solid">
        <fgColor theme="4"/>
        <bgColor indexed="64"/>
      </patternFill>
    </fill>
    <fill>
      <patternFill patternType="solid">
        <fgColor rgb="FF00206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theme="8" tint="0.59999389629810485"/>
        <bgColor indexed="64"/>
      </patternFill>
    </fill>
    <fill>
      <patternFill patternType="solid">
        <fgColor rgb="FFFFFFFF"/>
        <bgColor rgb="FF000000"/>
      </patternFill>
    </fill>
    <fill>
      <patternFill patternType="solid">
        <fgColor rgb="FFDDEBF7"/>
        <bgColor rgb="FF000000"/>
      </patternFill>
    </fill>
    <fill>
      <patternFill patternType="solid">
        <fgColor rgb="FFE2EFDA"/>
        <bgColor rgb="FF000000"/>
      </patternFill>
    </fill>
    <fill>
      <patternFill patternType="solid">
        <fgColor rgb="FFFCE4D6"/>
        <bgColor rgb="FF000000"/>
      </patternFill>
    </fill>
    <fill>
      <patternFill patternType="solid">
        <fgColor rgb="FF002060"/>
        <bgColor rgb="FF000000"/>
      </patternFill>
    </fill>
    <fill>
      <patternFill patternType="solid">
        <fgColor rgb="FF70AD47"/>
        <bgColor rgb="FF000000"/>
      </patternFill>
    </fill>
    <fill>
      <patternFill patternType="solid">
        <fgColor rgb="FFC65911"/>
        <bgColor rgb="FF000000"/>
      </patternFill>
    </fill>
    <fill>
      <patternFill patternType="solid">
        <fgColor rgb="FFFFFF00"/>
        <bgColor rgb="FF000000"/>
      </patternFill>
    </fill>
    <fill>
      <patternFill patternType="solid">
        <fgColor rgb="FF8497B0"/>
        <bgColor indexed="64"/>
      </patternFill>
    </fill>
    <fill>
      <patternFill patternType="solid">
        <fgColor rgb="FFFFC000"/>
        <bgColor rgb="FF000000"/>
      </patternFill>
    </fill>
    <fill>
      <patternFill patternType="solid">
        <fgColor rgb="FFFF0000"/>
        <bgColor rgb="FF000000"/>
      </patternFill>
    </fill>
    <fill>
      <patternFill patternType="solid">
        <fgColor rgb="FF44546A"/>
        <bgColor rgb="FF000000"/>
      </patternFill>
    </fill>
    <fill>
      <patternFill patternType="solid">
        <fgColor theme="0"/>
        <bgColor rgb="FF000000"/>
      </patternFill>
    </fill>
    <fill>
      <patternFill patternType="solid">
        <fgColor theme="8" tint="0.79998168889431442"/>
        <bgColor indexed="64"/>
      </patternFill>
    </fill>
    <fill>
      <patternFill patternType="solid">
        <fgColor theme="8" tint="0.59999389629810485"/>
        <bgColor rgb="FF000000"/>
      </patternFill>
    </fill>
    <fill>
      <patternFill patternType="solid">
        <fgColor theme="4" tint="0.59999389629810485"/>
        <bgColor indexed="64"/>
      </patternFill>
    </fill>
    <fill>
      <patternFill patternType="solid">
        <fgColor rgb="FF84C87D"/>
        <bgColor rgb="FF000000"/>
      </patternFill>
    </fill>
    <fill>
      <patternFill patternType="solid">
        <fgColor rgb="FF63BE7B"/>
        <bgColor rgb="FF000000"/>
      </patternFill>
    </fill>
    <fill>
      <patternFill patternType="solid">
        <fgColor rgb="FFD9E1F2"/>
        <bgColor rgb="FF000000"/>
      </patternFill>
    </fill>
    <fill>
      <patternFill patternType="solid">
        <fgColor rgb="FFF8696B"/>
        <bgColor rgb="FF000000"/>
      </patternFill>
    </fill>
    <fill>
      <patternFill patternType="solid">
        <fgColor rgb="FF1F4E78"/>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indexed="64"/>
      </right>
      <top style="thin">
        <color indexed="64"/>
      </top>
      <bottom/>
      <diagonal/>
    </border>
    <border>
      <left/>
      <right style="thin">
        <color indexed="64"/>
      </right>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ck">
        <color indexed="64"/>
      </right>
      <top style="thick">
        <color indexed="64"/>
      </top>
      <bottom style="thick">
        <color indexed="64"/>
      </bottom>
      <diagonal/>
    </border>
    <border>
      <left style="medium">
        <color rgb="FF000000"/>
      </left>
      <right/>
      <top style="medium">
        <color indexed="64"/>
      </top>
      <bottom style="medium">
        <color indexed="64"/>
      </bottom>
      <diagonal/>
    </border>
    <border>
      <left style="medium">
        <color rgb="FF000000"/>
      </left>
      <right/>
      <top style="medium">
        <color indexed="64"/>
      </top>
      <bottom style="medium">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indexed="64"/>
      </top>
      <bottom style="medium">
        <color indexed="64"/>
      </bottom>
      <diagonal/>
    </border>
    <border>
      <left/>
      <right/>
      <top/>
      <bottom style="thin">
        <color indexed="64"/>
      </bottom>
      <diagonal/>
    </border>
    <border>
      <left style="medium">
        <color rgb="FF000000"/>
      </left>
      <right/>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rgb="FF000000"/>
      </right>
      <top/>
      <bottom/>
      <diagonal/>
    </border>
    <border>
      <left style="medium">
        <color indexed="64"/>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indexed="64"/>
      </top>
      <bottom/>
      <diagonal/>
    </border>
    <border>
      <left/>
      <right/>
      <top style="medium">
        <color rgb="FF000000"/>
      </top>
      <bottom style="medium">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top style="thin">
        <color rgb="FF000000"/>
      </top>
      <bottom style="thin">
        <color rgb="FF000000"/>
      </bottom>
      <diagonal/>
    </border>
    <border>
      <left/>
      <right/>
      <top style="medium">
        <color rgb="FF000000"/>
      </top>
      <bottom/>
      <diagonal/>
    </border>
    <border>
      <left style="medium">
        <color rgb="FF000000"/>
      </left>
      <right style="medium">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medium">
        <color indexed="64"/>
      </right>
      <top style="medium">
        <color indexed="64"/>
      </top>
      <bottom style="thin">
        <color rgb="FF000000"/>
      </bottom>
      <diagonal/>
    </border>
    <border>
      <left style="thin">
        <color rgb="FF000000"/>
      </left>
      <right/>
      <top style="thick">
        <color indexed="64"/>
      </top>
      <bottom style="thin">
        <color indexed="64"/>
      </bottom>
      <diagonal/>
    </border>
    <border>
      <left/>
      <right/>
      <top style="thin">
        <color indexed="64"/>
      </top>
      <bottom style="thin">
        <color rgb="FF000000"/>
      </bottom>
      <diagonal/>
    </border>
    <border>
      <left style="medium">
        <color rgb="FF000000"/>
      </left>
      <right style="thin">
        <color rgb="FF000000"/>
      </right>
      <top/>
      <bottom/>
      <diagonal/>
    </border>
  </borders>
  <cellStyleXfs count="194">
    <xf numFmtId="0" fontId="0" fillId="0" borderId="0"/>
    <xf numFmtId="0" fontId="38" fillId="5" borderId="3" applyNumberFormat="0" applyAlignment="0" applyProtection="0"/>
    <xf numFmtId="0" fontId="32" fillId="0" borderId="0"/>
    <xf numFmtId="9" fontId="32" fillId="0" borderId="0" applyFont="0" applyFill="0" applyBorder="0" applyAlignment="0" applyProtection="0"/>
    <xf numFmtId="0" fontId="33" fillId="0" borderId="0"/>
    <xf numFmtId="0" fontId="33" fillId="0" borderId="0"/>
    <xf numFmtId="0" fontId="33" fillId="0" borderId="0"/>
    <xf numFmtId="0" fontId="47" fillId="0" borderId="0" applyNumberFormat="0" applyFill="0" applyBorder="0" applyAlignment="0" applyProtection="0"/>
    <xf numFmtId="9" fontId="33"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0" fillId="0" borderId="0"/>
    <xf numFmtId="0" fontId="29" fillId="0" borderId="0"/>
    <xf numFmtId="0" fontId="29" fillId="0" borderId="0"/>
    <xf numFmtId="0" fontId="28" fillId="0" borderId="0"/>
    <xf numFmtId="0" fontId="28" fillId="0" borderId="0"/>
    <xf numFmtId="9" fontId="28" fillId="0" borderId="0" applyFont="0" applyFill="0" applyBorder="0" applyAlignment="0" applyProtection="0"/>
    <xf numFmtId="0" fontId="27" fillId="0" borderId="0"/>
    <xf numFmtId="0" fontId="26" fillId="0" borderId="0"/>
    <xf numFmtId="0" fontId="52" fillId="0" borderId="0" applyNumberFormat="0" applyFill="0" applyBorder="0" applyAlignment="0" applyProtection="0"/>
    <xf numFmtId="0" fontId="25" fillId="0" borderId="0"/>
    <xf numFmtId="0" fontId="25" fillId="0" borderId="0"/>
    <xf numFmtId="9" fontId="25" fillId="0" borderId="0" applyFont="0" applyFill="0" applyBorder="0" applyAlignment="0" applyProtection="0"/>
    <xf numFmtId="0" fontId="25" fillId="0" borderId="0"/>
    <xf numFmtId="0" fontId="25" fillId="0" borderId="0"/>
    <xf numFmtId="0" fontId="24" fillId="0" borderId="0"/>
    <xf numFmtId="9" fontId="24" fillId="0" borderId="0" applyFont="0" applyFill="0" applyBorder="0" applyAlignment="0" applyProtection="0"/>
    <xf numFmtId="0" fontId="23" fillId="0" borderId="0"/>
    <xf numFmtId="0" fontId="23" fillId="0" borderId="0"/>
    <xf numFmtId="0" fontId="53" fillId="18" borderId="3" applyProtection="0"/>
    <xf numFmtId="0" fontId="22" fillId="0" borderId="0"/>
    <xf numFmtId="0" fontId="22" fillId="0" borderId="0"/>
    <xf numFmtId="0" fontId="22" fillId="0" borderId="0"/>
    <xf numFmtId="9" fontId="22" fillId="0" borderId="0" applyFont="0" applyFill="0" applyBorder="0" applyAlignment="0" applyProtection="0"/>
    <xf numFmtId="0" fontId="22" fillId="0" borderId="0"/>
    <xf numFmtId="0" fontId="21" fillId="0" borderId="0"/>
    <xf numFmtId="0" fontId="21" fillId="0" borderId="0"/>
    <xf numFmtId="9" fontId="21" fillId="0" borderId="0" applyFont="0" applyFill="0" applyBorder="0" applyAlignment="0" applyProtection="0"/>
    <xf numFmtId="0" fontId="49" fillId="0" borderId="0"/>
    <xf numFmtId="0" fontId="20" fillId="0" borderId="0"/>
    <xf numFmtId="0" fontId="20" fillId="0" borderId="0"/>
    <xf numFmtId="9" fontId="20" fillId="0" borderId="0" applyFont="0" applyFill="0" applyBorder="0" applyAlignment="0" applyProtection="0"/>
    <xf numFmtId="0" fontId="56" fillId="0" borderId="0" applyNumberFormat="0" applyFill="0" applyBorder="0" applyAlignment="0" applyProtection="0"/>
    <xf numFmtId="0" fontId="20"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0" fontId="19" fillId="0" borderId="0"/>
    <xf numFmtId="9" fontId="19"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5" fillId="0" borderId="0"/>
    <xf numFmtId="0" fontId="15" fillId="0" borderId="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4" fillId="0" borderId="0"/>
    <xf numFmtId="0" fontId="14" fillId="0" borderId="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4"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2" fillId="0" borderId="0"/>
    <xf numFmtId="0" fontId="12" fillId="0" borderId="0"/>
    <xf numFmtId="0" fontId="12" fillId="0" borderId="0"/>
    <xf numFmtId="9" fontId="12"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64" fontId="33"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66" fillId="0" borderId="0" applyNumberFormat="0" applyFill="0" applyBorder="0" applyAlignment="0" applyProtection="0"/>
    <xf numFmtId="0" fontId="61" fillId="0" borderId="0"/>
    <xf numFmtId="0" fontId="91" fillId="0" borderId="0" applyNumberFormat="0" applyFill="0" applyBorder="0" applyAlignment="0" applyProtection="0"/>
  </cellStyleXfs>
  <cellXfs count="1206">
    <xf numFmtId="0" fontId="0" fillId="0" borderId="0" xfId="0"/>
    <xf numFmtId="0" fontId="33" fillId="0" borderId="0" xfId="4"/>
    <xf numFmtId="0" fontId="45" fillId="0" borderId="1" xfId="4" applyFont="1" applyBorder="1" applyAlignment="1">
      <alignment horizontal="center" vertical="center" wrapText="1"/>
    </xf>
    <xf numFmtId="0" fontId="33" fillId="0" borderId="1" xfId="4" applyBorder="1" applyAlignment="1">
      <alignment horizontal="justify" vertical="center"/>
    </xf>
    <xf numFmtId="0" fontId="35" fillId="0" borderId="1" xfId="4" applyFont="1" applyBorder="1" applyAlignment="1">
      <alignment horizontal="center"/>
    </xf>
    <xf numFmtId="0" fontId="35" fillId="0" borderId="1" xfId="4" applyFont="1" applyBorder="1" applyAlignment="1">
      <alignment horizontal="center" vertical="center"/>
    </xf>
    <xf numFmtId="0" fontId="33" fillId="0" borderId="1" xfId="4" applyBorder="1" applyAlignment="1">
      <alignment horizontal="center"/>
    </xf>
    <xf numFmtId="0" fontId="33" fillId="0" borderId="1" xfId="4" applyBorder="1" applyAlignment="1">
      <alignment wrapText="1"/>
    </xf>
    <xf numFmtId="0" fontId="33" fillId="0" borderId="1" xfId="4" applyBorder="1" applyAlignment="1">
      <alignment vertical="center"/>
    </xf>
    <xf numFmtId="0" fontId="33" fillId="0" borderId="1" xfId="4" applyBorder="1" applyAlignment="1">
      <alignment horizontal="center" vertical="center"/>
    </xf>
    <xf numFmtId="0" fontId="35" fillId="14" borderId="1" xfId="4" applyFont="1" applyFill="1" applyBorder="1" applyAlignment="1">
      <alignment horizontal="center" wrapText="1"/>
    </xf>
    <xf numFmtId="0" fontId="45" fillId="3" borderId="1" xfId="4" applyFont="1" applyFill="1" applyBorder="1"/>
    <xf numFmtId="0" fontId="33" fillId="0" borderId="1" xfId="4" applyBorder="1" applyAlignment="1">
      <alignment vertical="center" wrapText="1"/>
    </xf>
    <xf numFmtId="0" fontId="35" fillId="14" borderId="1" xfId="4" applyFont="1" applyFill="1" applyBorder="1" applyAlignment="1">
      <alignment horizontal="justify" wrapText="1"/>
    </xf>
    <xf numFmtId="0" fontId="45" fillId="10" borderId="1" xfId="4" applyFont="1" applyFill="1" applyBorder="1"/>
    <xf numFmtId="0" fontId="45" fillId="0" borderId="1" xfId="4" applyFont="1" applyBorder="1" applyAlignment="1">
      <alignment horizontal="center" vertical="center"/>
    </xf>
    <xf numFmtId="0" fontId="45" fillId="14" borderId="1" xfId="4" applyFont="1" applyFill="1" applyBorder="1"/>
    <xf numFmtId="0" fontId="45" fillId="0" borderId="0" xfId="4" applyFont="1"/>
    <xf numFmtId="0" fontId="33" fillId="0" borderId="1" xfId="4" applyBorder="1" applyAlignment="1">
      <alignment horizontal="left" wrapText="1"/>
    </xf>
    <xf numFmtId="0" fontId="33" fillId="3" borderId="1" xfId="4" applyFill="1" applyBorder="1" applyAlignment="1">
      <alignment horizontal="center" vertical="center"/>
    </xf>
    <xf numFmtId="0" fontId="35" fillId="3" borderId="1" xfId="4" applyFont="1" applyFill="1" applyBorder="1" applyAlignment="1">
      <alignment horizontal="justify" vertical="center"/>
    </xf>
    <xf numFmtId="0" fontId="33" fillId="0" borderId="1" xfId="4" applyBorder="1"/>
    <xf numFmtId="0" fontId="35" fillId="10" borderId="1" xfId="4" applyFont="1" applyFill="1" applyBorder="1" applyAlignment="1">
      <alignment horizontal="justify"/>
    </xf>
    <xf numFmtId="0" fontId="35" fillId="0" borderId="5" xfId="4" applyFont="1" applyBorder="1" applyAlignment="1">
      <alignment horizontal="justify" vertical="center"/>
    </xf>
    <xf numFmtId="14" fontId="33" fillId="3" borderId="1" xfId="4" applyNumberFormat="1" applyFill="1" applyBorder="1" applyAlignment="1">
      <alignment horizontal="center"/>
    </xf>
    <xf numFmtId="0" fontId="35" fillId="3" borderId="1" xfId="4" applyFont="1" applyFill="1" applyBorder="1" applyAlignment="1">
      <alignment horizontal="justify"/>
    </xf>
    <xf numFmtId="0" fontId="33" fillId="3" borderId="1" xfId="4" applyFill="1" applyBorder="1" applyAlignment="1">
      <alignment horizontal="center"/>
    </xf>
    <xf numFmtId="0" fontId="34" fillId="0" borderId="1" xfId="4" applyFont="1" applyBorder="1" applyAlignment="1">
      <alignment horizontal="justify" vertical="center" wrapText="1"/>
    </xf>
    <xf numFmtId="0" fontId="35" fillId="14" borderId="1" xfId="4" applyFont="1" applyFill="1" applyBorder="1" applyAlignment="1">
      <alignment horizontal="justify"/>
    </xf>
    <xf numFmtId="0" fontId="33" fillId="0" borderId="1" xfId="0" applyFont="1" applyBorder="1" applyAlignment="1">
      <alignment horizontal="center" vertical="center"/>
    </xf>
    <xf numFmtId="0" fontId="33" fillId="16" borderId="1" xfId="0" applyFont="1" applyFill="1" applyBorder="1" applyAlignment="1">
      <alignment horizontal="center" vertical="center" wrapText="1"/>
    </xf>
    <xf numFmtId="14" fontId="33" fillId="16" borderId="1" xfId="0" applyNumberFormat="1" applyFont="1" applyFill="1" applyBorder="1" applyAlignment="1">
      <alignment horizontal="center" vertical="center" wrapText="1"/>
    </xf>
    <xf numFmtId="0" fontId="35" fillId="11" borderId="1" xfId="0" applyFont="1" applyFill="1" applyBorder="1" applyAlignment="1">
      <alignment horizontal="center" vertical="center" wrapText="1"/>
    </xf>
    <xf numFmtId="0" fontId="33" fillId="0" borderId="1" xfId="0" applyFont="1" applyBorder="1" applyAlignment="1">
      <alignment horizontal="justify" vertical="center" wrapText="1"/>
    </xf>
    <xf numFmtId="0" fontId="33" fillId="8" borderId="1" xfId="0" applyFont="1" applyFill="1" applyBorder="1" applyAlignment="1">
      <alignment horizontal="justify" vertical="center" wrapText="1"/>
    </xf>
    <xf numFmtId="0" fontId="0" fillId="0" borderId="1" xfId="0" applyBorder="1" applyAlignment="1">
      <alignment horizontal="center"/>
    </xf>
    <xf numFmtId="0" fontId="33" fillId="8" borderId="1" xfId="0" applyFont="1" applyFill="1" applyBorder="1" applyAlignment="1">
      <alignment horizontal="left" vertical="center" wrapText="1"/>
    </xf>
    <xf numFmtId="49" fontId="33" fillId="16" borderId="1" xfId="0" applyNumberFormat="1" applyFont="1" applyFill="1" applyBorder="1" applyAlignment="1">
      <alignment horizontal="center" vertical="center" wrapText="1"/>
    </xf>
    <xf numFmtId="14" fontId="51" fillId="16"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14" fontId="33" fillId="0" borderId="1" xfId="0" applyNumberFormat="1" applyFont="1" applyBorder="1" applyAlignment="1">
      <alignment horizontal="center" vertical="center"/>
    </xf>
    <xf numFmtId="18" fontId="0" fillId="0" borderId="1" xfId="0" applyNumberFormat="1" applyBorder="1" applyAlignment="1">
      <alignment horizontal="center" vertical="center"/>
    </xf>
    <xf numFmtId="168" fontId="0" fillId="0" borderId="1" xfId="0" applyNumberFormat="1" applyBorder="1" applyAlignment="1">
      <alignment horizontal="center" vertical="center"/>
    </xf>
    <xf numFmtId="18" fontId="33" fillId="0" borderId="1" xfId="0" applyNumberFormat="1" applyFont="1" applyBorder="1" applyAlignment="1">
      <alignment horizontal="center" vertical="center"/>
    </xf>
    <xf numFmtId="0" fontId="33" fillId="0" borderId="1" xfId="4" applyBorder="1" applyAlignment="1">
      <alignment horizontal="justify"/>
    </xf>
    <xf numFmtId="0" fontId="33" fillId="0" borderId="4" xfId="4" applyBorder="1" applyAlignment="1">
      <alignment horizontal="justify"/>
    </xf>
    <xf numFmtId="0" fontId="33" fillId="0" borderId="0" xfId="0" applyFont="1" applyAlignment="1">
      <alignment horizontal="justify"/>
    </xf>
    <xf numFmtId="0" fontId="33" fillId="0" borderId="4" xfId="4" applyBorder="1" applyAlignment="1">
      <alignment horizontal="justify" vertical="center"/>
    </xf>
    <xf numFmtId="0" fontId="0" fillId="0" borderId="1" xfId="0" applyBorder="1" applyAlignment="1">
      <alignment horizontal="justify" vertical="center"/>
    </xf>
    <xf numFmtId="0" fontId="33" fillId="0" borderId="1" xfId="0" applyFont="1" applyBorder="1" applyAlignment="1">
      <alignment horizontal="justify" vertical="center"/>
    </xf>
    <xf numFmtId="0" fontId="33" fillId="0" borderId="1" xfId="0" applyFont="1" applyBorder="1" applyAlignment="1">
      <alignment horizontal="justify"/>
    </xf>
    <xf numFmtId="0" fontId="33" fillId="0" borderId="1" xfId="0" applyFont="1" applyBorder="1" applyAlignment="1">
      <alignment horizontal="justify" wrapText="1"/>
    </xf>
    <xf numFmtId="0" fontId="35" fillId="11" borderId="1" xfId="4" applyFont="1" applyFill="1" applyBorder="1" applyAlignment="1">
      <alignment horizontal="center" vertical="center"/>
    </xf>
    <xf numFmtId="0" fontId="0" fillId="0" borderId="0" xfId="0" applyAlignment="1">
      <alignment horizontal="center" vertical="center"/>
    </xf>
    <xf numFmtId="9" fontId="46" fillId="8" borderId="5" xfId="4" applyNumberFormat="1" applyFont="1" applyFill="1" applyBorder="1" applyAlignment="1">
      <alignment horizontal="center" vertical="center" wrapText="1"/>
    </xf>
    <xf numFmtId="0" fontId="0" fillId="0" borderId="21" xfId="0" applyBorder="1" applyAlignment="1">
      <alignment horizontal="center"/>
    </xf>
    <xf numFmtId="0" fontId="33" fillId="8" borderId="21" xfId="0" applyFont="1" applyFill="1" applyBorder="1" applyAlignment="1">
      <alignment horizontal="justify" vertical="center" wrapText="1"/>
    </xf>
    <xf numFmtId="14" fontId="0" fillId="0" borderId="21" xfId="0" applyNumberFormat="1" applyBorder="1" applyAlignment="1">
      <alignment horizontal="center" vertical="center"/>
    </xf>
    <xf numFmtId="18" fontId="0" fillId="0" borderId="21" xfId="0" applyNumberFormat="1" applyBorder="1" applyAlignment="1">
      <alignment horizontal="center" vertical="center"/>
    </xf>
    <xf numFmtId="0" fontId="46" fillId="0" borderId="0" xfId="0" applyFont="1"/>
    <xf numFmtId="0" fontId="46" fillId="0" borderId="0" xfId="0" applyFont="1" applyAlignment="1" applyProtection="1">
      <alignment horizontal="center" vertical="center"/>
      <protection locked="0"/>
    </xf>
    <xf numFmtId="0" fontId="46" fillId="0" borderId="0" xfId="0" applyFont="1" applyAlignment="1">
      <alignment horizontal="center" vertical="center"/>
    </xf>
    <xf numFmtId="0" fontId="64" fillId="21" borderId="4" xfId="0" applyFont="1" applyFill="1" applyBorder="1" applyAlignment="1" applyProtection="1">
      <alignment horizontal="center" vertical="center" wrapText="1"/>
      <protection locked="0"/>
    </xf>
    <xf numFmtId="1" fontId="50" fillId="0" borderId="19" xfId="0" applyNumberFormat="1" applyFont="1" applyBorder="1" applyAlignment="1">
      <alignment horizontal="center" vertical="center" wrapText="1"/>
    </xf>
    <xf numFmtId="0" fontId="46" fillId="0" borderId="0" xfId="174" applyFont="1" applyAlignment="1" applyProtection="1">
      <alignment horizontal="center" vertical="center" wrapText="1"/>
      <protection locked="0"/>
    </xf>
    <xf numFmtId="0" fontId="64" fillId="21" borderId="4" xfId="174" applyFont="1" applyFill="1" applyBorder="1" applyAlignment="1" applyProtection="1">
      <alignment horizontal="center" vertical="center" wrapText="1"/>
      <protection locked="0"/>
    </xf>
    <xf numFmtId="1" fontId="50" fillId="0" borderId="19" xfId="174" applyNumberFormat="1" applyFont="1" applyBorder="1" applyAlignment="1">
      <alignment horizontal="center" vertical="center" wrapText="1"/>
    </xf>
    <xf numFmtId="9" fontId="44" fillId="2" borderId="15" xfId="177" applyNumberFormat="1" applyFont="1" applyFill="1" applyBorder="1" applyAlignment="1">
      <alignment horizontal="center" vertical="center" wrapText="1"/>
    </xf>
    <xf numFmtId="0" fontId="34" fillId="0" borderId="0" xfId="0" applyFont="1"/>
    <xf numFmtId="0" fontId="46" fillId="0" borderId="0" xfId="0" applyFont="1" applyAlignment="1">
      <alignment wrapText="1"/>
    </xf>
    <xf numFmtId="9" fontId="46" fillId="0" borderId="0" xfId="0" applyNumberFormat="1" applyFont="1" applyAlignment="1">
      <alignment wrapText="1"/>
    </xf>
    <xf numFmtId="0" fontId="48" fillId="8" borderId="0" xfId="174" applyFont="1" applyFill="1" applyAlignment="1" applyProtection="1">
      <alignment horizontal="center" vertical="center"/>
      <protection locked="0"/>
    </xf>
    <xf numFmtId="0" fontId="48" fillId="0" borderId="0" xfId="174" applyFont="1" applyAlignment="1" applyProtection="1">
      <alignment horizontal="center" vertical="center"/>
      <protection locked="0"/>
    </xf>
    <xf numFmtId="9" fontId="55" fillId="2" borderId="15" xfId="177" applyNumberFormat="1" applyFont="1" applyFill="1" applyBorder="1" applyAlignment="1">
      <alignment horizontal="center" vertical="center"/>
    </xf>
    <xf numFmtId="9" fontId="46" fillId="0" borderId="4" xfId="170" applyFont="1" applyFill="1" applyBorder="1" applyAlignment="1">
      <alignment horizontal="center" vertical="center"/>
    </xf>
    <xf numFmtId="0" fontId="46" fillId="0" borderId="0" xfId="166" applyFont="1" applyAlignment="1" applyProtection="1">
      <alignment horizontal="center" vertical="center"/>
      <protection locked="0"/>
    </xf>
    <xf numFmtId="0" fontId="46" fillId="8" borderId="0" xfId="166" applyFont="1" applyFill="1" applyAlignment="1" applyProtection="1">
      <alignment horizontal="center" vertical="center"/>
      <protection locked="0"/>
    </xf>
    <xf numFmtId="10" fontId="44" fillId="2" borderId="5" xfId="168" applyNumberFormat="1" applyFont="1" applyFill="1" applyBorder="1" applyAlignment="1">
      <alignment horizontal="center" vertical="center"/>
    </xf>
    <xf numFmtId="9" fontId="44" fillId="2" borderId="15" xfId="168" applyNumberFormat="1" applyFont="1" applyFill="1" applyBorder="1" applyAlignment="1">
      <alignment horizontal="center" vertical="center"/>
    </xf>
    <xf numFmtId="0" fontId="44" fillId="8" borderId="0" xfId="166" applyFont="1" applyFill="1" applyAlignment="1" applyProtection="1">
      <alignment horizontal="center" vertical="center"/>
      <protection locked="0"/>
    </xf>
    <xf numFmtId="0" fontId="46" fillId="0" borderId="0" xfId="166" applyFont="1" applyAlignment="1" applyProtection="1">
      <alignment horizontal="center" vertical="center" wrapText="1"/>
      <protection locked="0"/>
    </xf>
    <xf numFmtId="41" fontId="46" fillId="0" borderId="0" xfId="171" applyFont="1" applyFill="1" applyBorder="1" applyAlignment="1" applyProtection="1">
      <alignment horizontal="center" vertical="center" wrapText="1"/>
      <protection locked="0"/>
    </xf>
    <xf numFmtId="9" fontId="46" fillId="0" borderId="0" xfId="170" applyFont="1" applyFill="1" applyBorder="1" applyAlignment="1" applyProtection="1">
      <alignment horizontal="center" vertical="center"/>
      <protection locked="0"/>
    </xf>
    <xf numFmtId="166" fontId="50" fillId="0" borderId="13" xfId="166" applyNumberFormat="1" applyFont="1" applyBorder="1" applyAlignment="1">
      <alignment horizontal="center" vertical="center"/>
    </xf>
    <xf numFmtId="0" fontId="49" fillId="0" borderId="1" xfId="188" applyFont="1" applyBorder="1" applyAlignment="1">
      <alignment horizontal="center" vertical="center"/>
    </xf>
    <xf numFmtId="0" fontId="49" fillId="0" borderId="8" xfId="188" applyFont="1" applyBorder="1" applyAlignment="1">
      <alignment horizontal="center" vertical="center"/>
    </xf>
    <xf numFmtId="0" fontId="49" fillId="0" borderId="7" xfId="188" applyFont="1" applyBorder="1" applyAlignment="1">
      <alignment horizontal="center" vertical="center"/>
    </xf>
    <xf numFmtId="0" fontId="49" fillId="0" borderId="2" xfId="183" applyFont="1" applyBorder="1" applyAlignment="1">
      <alignment horizontal="center" vertical="center" wrapText="1"/>
    </xf>
    <xf numFmtId="0" fontId="49" fillId="0" borderId="1" xfId="183" applyFont="1" applyBorder="1" applyAlignment="1">
      <alignment horizontal="center" vertical="center" wrapText="1"/>
    </xf>
    <xf numFmtId="14" fontId="49" fillId="0" borderId="1" xfId="188" applyNumberFormat="1" applyFont="1" applyBorder="1" applyAlignment="1">
      <alignment horizontal="center" vertical="center"/>
    </xf>
    <xf numFmtId="0" fontId="49" fillId="0" borderId="5" xfId="188" applyFont="1" applyBorder="1" applyAlignment="1">
      <alignment horizontal="center" vertical="center"/>
    </xf>
    <xf numFmtId="0" fontId="67" fillId="0" borderId="1" xfId="188" applyFont="1" applyBorder="1" applyAlignment="1">
      <alignment horizontal="center" vertical="center"/>
    </xf>
    <xf numFmtId="14" fontId="49" fillId="0" borderId="5" xfId="188" applyNumberFormat="1" applyFont="1" applyBorder="1" applyAlignment="1">
      <alignment horizontal="center" vertical="center"/>
    </xf>
    <xf numFmtId="0" fontId="49" fillId="0" borderId="0" xfId="188" applyFont="1" applyAlignment="1">
      <alignment horizontal="center" vertical="center"/>
    </xf>
    <xf numFmtId="0" fontId="49" fillId="0" borderId="0" xfId="158" applyFont="1" applyAlignment="1">
      <alignment horizontal="center" vertical="center" wrapText="1"/>
    </xf>
    <xf numFmtId="14" fontId="49" fillId="0" borderId="0" xfId="158" applyNumberFormat="1" applyFont="1" applyAlignment="1">
      <alignment horizontal="center" vertical="center" wrapText="1"/>
    </xf>
    <xf numFmtId="14" fontId="49" fillId="0" borderId="0" xfId="188" applyNumberFormat="1" applyFont="1" applyAlignment="1">
      <alignment horizontal="center" vertical="center"/>
    </xf>
    <xf numFmtId="0" fontId="49" fillId="8" borderId="0" xfId="0" applyFont="1" applyFill="1" applyAlignment="1">
      <alignment horizontal="center" vertical="center"/>
    </xf>
    <xf numFmtId="14" fontId="46" fillId="0" borderId="0" xfId="0" applyNumberFormat="1" applyFont="1" applyAlignment="1">
      <alignment horizontal="center" vertical="center"/>
    </xf>
    <xf numFmtId="0" fontId="33" fillId="8" borderId="0" xfId="0" applyFont="1" applyFill="1"/>
    <xf numFmtId="0" fontId="35" fillId="39" borderId="20" xfId="0" applyFont="1" applyFill="1" applyBorder="1" applyAlignment="1">
      <alignment horizontal="center" vertical="center" wrapText="1"/>
    </xf>
    <xf numFmtId="0" fontId="35" fillId="8" borderId="20" xfId="0" applyFont="1" applyFill="1" applyBorder="1" applyAlignment="1">
      <alignment horizontal="center" vertical="center" wrapText="1"/>
    </xf>
    <xf numFmtId="0" fontId="33" fillId="8" borderId="20" xfId="0" applyFont="1" applyFill="1" applyBorder="1" applyAlignment="1">
      <alignment horizontal="center" vertical="center" wrapText="1"/>
    </xf>
    <xf numFmtId="0" fontId="33" fillId="8" borderId="23" xfId="0" applyFont="1" applyFill="1" applyBorder="1" applyAlignment="1">
      <alignment horizontal="center" vertical="center" wrapText="1"/>
    </xf>
    <xf numFmtId="9" fontId="33" fillId="8" borderId="23" xfId="188" applyNumberFormat="1" applyFont="1" applyFill="1" applyBorder="1" applyAlignment="1">
      <alignment horizontal="center" vertical="center"/>
    </xf>
    <xf numFmtId="9" fontId="33" fillId="38" borderId="23" xfId="0" applyNumberFormat="1" applyFont="1" applyFill="1" applyBorder="1" applyAlignment="1">
      <alignment horizontal="center" vertical="center"/>
    </xf>
    <xf numFmtId="0" fontId="73" fillId="8" borderId="23" xfId="0" quotePrefix="1" applyFont="1" applyFill="1" applyBorder="1" applyAlignment="1">
      <alignment horizontal="center" vertical="center"/>
    </xf>
    <xf numFmtId="1" fontId="33" fillId="8" borderId="23" xfId="0" applyNumberFormat="1" applyFont="1" applyFill="1" applyBorder="1" applyAlignment="1">
      <alignment horizontal="center" vertical="center" wrapText="1"/>
    </xf>
    <xf numFmtId="0" fontId="33" fillId="8" borderId="23" xfId="191" applyFont="1" applyFill="1" applyBorder="1" applyAlignment="1" applyProtection="1">
      <alignment horizontal="center" vertical="center" wrapText="1"/>
    </xf>
    <xf numFmtId="0" fontId="46" fillId="8" borderId="23" xfId="0" applyFont="1" applyFill="1" applyBorder="1" applyAlignment="1">
      <alignment horizontal="center" vertical="center" wrapText="1"/>
    </xf>
    <xf numFmtId="14" fontId="46" fillId="8" borderId="23" xfId="0" applyNumberFormat="1" applyFont="1" applyFill="1" applyBorder="1" applyAlignment="1">
      <alignment horizontal="center" vertical="center" wrapText="1"/>
    </xf>
    <xf numFmtId="9" fontId="46" fillId="8" borderId="23" xfId="4" applyNumberFormat="1" applyFont="1" applyFill="1" applyBorder="1" applyAlignment="1">
      <alignment horizontal="center" vertical="center" wrapText="1"/>
    </xf>
    <xf numFmtId="9" fontId="46" fillId="8" borderId="23" xfId="0" applyNumberFormat="1" applyFont="1" applyFill="1" applyBorder="1" applyAlignment="1">
      <alignment horizontal="center" vertical="center" wrapText="1"/>
    </xf>
    <xf numFmtId="0" fontId="49" fillId="8" borderId="23" xfId="0" applyFont="1" applyFill="1" applyBorder="1" applyAlignment="1">
      <alignment horizontal="center" vertical="center" wrapText="1"/>
    </xf>
    <xf numFmtId="0" fontId="71" fillId="9" borderId="23" xfId="158" applyFont="1" applyFill="1" applyBorder="1" applyAlignment="1">
      <alignment horizontal="center" vertical="center" wrapText="1"/>
    </xf>
    <xf numFmtId="0" fontId="72" fillId="9" borderId="23" xfId="158" applyFont="1" applyFill="1" applyBorder="1" applyAlignment="1">
      <alignment horizontal="center" vertical="center" wrapText="1"/>
    </xf>
    <xf numFmtId="14" fontId="72" fillId="9" borderId="23" xfId="158" applyNumberFormat="1" applyFont="1" applyFill="1" applyBorder="1" applyAlignment="1">
      <alignment horizontal="center" vertical="center" wrapText="1"/>
    </xf>
    <xf numFmtId="0" fontId="72" fillId="9" borderId="23" xfId="4" applyFont="1" applyFill="1" applyBorder="1" applyAlignment="1">
      <alignment horizontal="center" vertical="center" wrapText="1"/>
    </xf>
    <xf numFmtId="9" fontId="49" fillId="8" borderId="23" xfId="4" applyNumberFormat="1" applyFont="1" applyFill="1" applyBorder="1" applyAlignment="1">
      <alignment horizontal="center" vertical="center" wrapText="1"/>
    </xf>
    <xf numFmtId="9" fontId="50" fillId="8" borderId="23" xfId="190" applyFont="1" applyFill="1" applyBorder="1" applyAlignment="1">
      <alignment horizontal="center" vertical="center"/>
    </xf>
    <xf numFmtId="9" fontId="46" fillId="0" borderId="23" xfId="0" applyNumberFormat="1" applyFont="1" applyBorder="1" applyAlignment="1">
      <alignment horizontal="center" vertical="center"/>
    </xf>
    <xf numFmtId="10" fontId="44" fillId="2" borderId="23" xfId="164" applyNumberFormat="1" applyFont="1" applyFill="1" applyBorder="1" applyAlignment="1">
      <alignment horizontal="center" vertical="center"/>
    </xf>
    <xf numFmtId="0" fontId="71" fillId="9" borderId="23" xfId="183" applyFont="1" applyFill="1" applyBorder="1" applyAlignment="1">
      <alignment horizontal="center" vertical="center" wrapText="1"/>
    </xf>
    <xf numFmtId="0" fontId="72" fillId="9" borderId="23" xfId="183" applyFont="1" applyFill="1" applyBorder="1" applyAlignment="1">
      <alignment horizontal="center" vertical="center" wrapText="1"/>
    </xf>
    <xf numFmtId="14" fontId="72" fillId="9" borderId="23" xfId="183" applyNumberFormat="1" applyFont="1" applyFill="1" applyBorder="1" applyAlignment="1">
      <alignment horizontal="center" vertical="center" wrapText="1"/>
    </xf>
    <xf numFmtId="1" fontId="44" fillId="0" borderId="23" xfId="189" applyNumberFormat="1" applyFont="1" applyBorder="1" applyAlignment="1">
      <alignment horizontal="center" vertical="center"/>
    </xf>
    <xf numFmtId="0" fontId="49" fillId="0" borderId="2" xfId="188" applyFont="1" applyBorder="1" applyAlignment="1">
      <alignment horizontal="center" vertical="center"/>
    </xf>
    <xf numFmtId="10" fontId="44" fillId="3" borderId="23" xfId="164" applyNumberFormat="1" applyFont="1" applyFill="1" applyBorder="1" applyAlignment="1">
      <alignment horizontal="center" vertical="center"/>
    </xf>
    <xf numFmtId="0" fontId="49" fillId="3" borderId="23" xfId="188" applyFont="1" applyFill="1" applyBorder="1" applyAlignment="1">
      <alignment horizontal="center" vertical="center"/>
    </xf>
    <xf numFmtId="14" fontId="49" fillId="0" borderId="7" xfId="188" applyNumberFormat="1" applyFont="1" applyBorder="1" applyAlignment="1">
      <alignment horizontal="center" vertical="center"/>
    </xf>
    <xf numFmtId="0" fontId="50" fillId="11" borderId="23" xfId="158" applyFont="1" applyFill="1" applyBorder="1" applyAlignment="1">
      <alignment horizontal="center" vertical="center" wrapText="1"/>
    </xf>
    <xf numFmtId="0" fontId="44" fillId="20" borderId="23" xfId="0" applyFont="1" applyFill="1" applyBorder="1" applyAlignment="1" applyProtection="1">
      <alignment horizontal="center" vertical="center"/>
      <protection locked="0"/>
    </xf>
    <xf numFmtId="14" fontId="44" fillId="8" borderId="23" xfId="0" applyNumberFormat="1" applyFont="1" applyFill="1" applyBorder="1" applyAlignment="1" applyProtection="1">
      <alignment horizontal="center" vertical="center" wrapText="1"/>
      <protection locked="0"/>
    </xf>
    <xf numFmtId="0" fontId="44" fillId="20" borderId="23" xfId="0" applyFont="1" applyFill="1" applyBorder="1" applyAlignment="1" applyProtection="1">
      <alignment horizontal="center" vertical="center" wrapText="1"/>
      <protection locked="0"/>
    </xf>
    <xf numFmtId="0" fontId="64" fillId="21" borderId="23" xfId="0" applyFont="1" applyFill="1" applyBorder="1" applyAlignment="1" applyProtection="1">
      <alignment horizontal="center" vertical="center" wrapText="1"/>
      <protection locked="0"/>
    </xf>
    <xf numFmtId="0" fontId="64" fillId="24" borderId="23" xfId="0" applyFont="1" applyFill="1" applyBorder="1" applyAlignment="1" applyProtection="1">
      <alignment horizontal="center" vertical="center" wrapText="1"/>
      <protection locked="0"/>
    </xf>
    <xf numFmtId="14" fontId="64" fillId="24" borderId="23" xfId="0" applyNumberFormat="1" applyFont="1" applyFill="1" applyBorder="1" applyAlignment="1" applyProtection="1">
      <alignment horizontal="center" vertical="center" wrapText="1"/>
      <protection locked="0"/>
    </xf>
    <xf numFmtId="0" fontId="65" fillId="24" borderId="23" xfId="0" applyFont="1" applyFill="1" applyBorder="1" applyAlignment="1" applyProtection="1">
      <alignment horizontal="center" vertical="center" wrapText="1"/>
      <protection locked="0"/>
    </xf>
    <xf numFmtId="0" fontId="64" fillId="12" borderId="23" xfId="0" applyFont="1" applyFill="1" applyBorder="1" applyAlignment="1" applyProtection="1">
      <alignment horizontal="center" vertical="center" wrapText="1"/>
      <protection locked="0"/>
    </xf>
    <xf numFmtId="0" fontId="46" fillId="0" borderId="23" xfId="0" applyFont="1" applyBorder="1" applyAlignment="1">
      <alignment horizontal="center" vertical="center" wrapText="1"/>
    </xf>
    <xf numFmtId="14" fontId="46" fillId="0" borderId="23" xfId="0" applyNumberFormat="1" applyFont="1" applyBorder="1" applyAlignment="1">
      <alignment horizontal="center" vertical="center" wrapText="1"/>
    </xf>
    <xf numFmtId="9" fontId="46" fillId="2" borderId="23" xfId="188" applyNumberFormat="1" applyFont="1" applyFill="1" applyBorder="1" applyAlignment="1">
      <alignment horizontal="center" vertical="center"/>
    </xf>
    <xf numFmtId="10" fontId="44" fillId="2" borderId="23" xfId="56" applyNumberFormat="1" applyFont="1" applyFill="1" applyBorder="1" applyAlignment="1">
      <alignment horizontal="center" vertical="center"/>
    </xf>
    <xf numFmtId="0" fontId="54" fillId="0" borderId="23" xfId="0" applyFont="1" applyBorder="1" applyAlignment="1">
      <alignment horizontal="center" vertical="center" wrapText="1"/>
    </xf>
    <xf numFmtId="0" fontId="50" fillId="0" borderId="23" xfId="0" applyFont="1" applyBorder="1" applyAlignment="1">
      <alignment horizontal="center" vertical="center"/>
    </xf>
    <xf numFmtId="1" fontId="50" fillId="0" borderId="23" xfId="0" applyNumberFormat="1" applyFont="1" applyBorder="1" applyAlignment="1">
      <alignment horizontal="center" vertical="center"/>
    </xf>
    <xf numFmtId="0" fontId="64" fillId="7" borderId="23" xfId="188" applyFont="1" applyFill="1" applyBorder="1" applyAlignment="1">
      <alignment horizontal="center" vertical="center"/>
    </xf>
    <xf numFmtId="0" fontId="50" fillId="0" borderId="13" xfId="0" applyFont="1" applyBorder="1" applyAlignment="1">
      <alignment horizontal="center" vertical="center" wrapText="1"/>
    </xf>
    <xf numFmtId="9" fontId="64" fillId="21" borderId="13" xfId="0" applyNumberFormat="1" applyFont="1" applyFill="1" applyBorder="1" applyAlignment="1">
      <alignment horizontal="center" vertical="center" wrapText="1"/>
    </xf>
    <xf numFmtId="9" fontId="49" fillId="36" borderId="13" xfId="0" applyNumberFormat="1" applyFont="1" applyFill="1" applyBorder="1" applyAlignment="1">
      <alignment horizontal="center" vertical="center" wrapText="1"/>
    </xf>
    <xf numFmtId="10" fontId="64" fillId="12" borderId="23" xfId="0" applyNumberFormat="1" applyFont="1" applyFill="1" applyBorder="1" applyAlignment="1" applyProtection="1">
      <alignment horizontal="center" vertical="center" wrapText="1"/>
      <protection locked="0"/>
    </xf>
    <xf numFmtId="0" fontId="44" fillId="0" borderId="23" xfId="0" applyFont="1" applyBorder="1" applyAlignment="1" applyProtection="1">
      <alignment horizontal="center" vertical="center" wrapText="1"/>
      <protection locked="0"/>
    </xf>
    <xf numFmtId="10" fontId="44" fillId="2" borderId="23" xfId="56" applyNumberFormat="1" applyFont="1" applyFill="1" applyBorder="1" applyAlignment="1">
      <alignment horizontal="center" vertical="center" wrapText="1"/>
    </xf>
    <xf numFmtId="9" fontId="46" fillId="0" borderId="0" xfId="187" applyFont="1" applyFill="1" applyBorder="1" applyAlignment="1">
      <alignment horizontal="center" vertical="center" wrapText="1"/>
    </xf>
    <xf numFmtId="166" fontId="50" fillId="0" borderId="23" xfId="0" applyNumberFormat="1" applyFont="1" applyBorder="1" applyAlignment="1">
      <alignment horizontal="center" vertical="center" wrapText="1"/>
    </xf>
    <xf numFmtId="9" fontId="46" fillId="2" borderId="23" xfId="188" applyNumberFormat="1" applyFont="1" applyFill="1" applyBorder="1" applyAlignment="1">
      <alignment horizontal="center" vertical="center" wrapText="1"/>
    </xf>
    <xf numFmtId="0" fontId="64" fillId="21" borderId="23" xfId="174" applyFont="1" applyFill="1" applyBorder="1" applyAlignment="1" applyProtection="1">
      <alignment horizontal="center" vertical="center" wrapText="1"/>
      <protection locked="0"/>
    </xf>
    <xf numFmtId="0" fontId="64" fillId="24" borderId="23" xfId="174" applyFont="1" applyFill="1" applyBorder="1" applyAlignment="1" applyProtection="1">
      <alignment horizontal="center" vertical="center" wrapText="1"/>
      <protection locked="0"/>
    </xf>
    <xf numFmtId="0" fontId="64" fillId="12" borderId="23" xfId="174" applyFont="1" applyFill="1" applyBorder="1" applyAlignment="1" applyProtection="1">
      <alignment horizontal="center" vertical="center" wrapText="1"/>
      <protection locked="0"/>
    </xf>
    <xf numFmtId="1" fontId="50" fillId="0" borderId="23" xfId="174" applyNumberFormat="1" applyFont="1" applyBorder="1" applyAlignment="1">
      <alignment horizontal="center" vertical="center" wrapText="1"/>
    </xf>
    <xf numFmtId="0" fontId="64" fillId="7" borderId="23" xfId="178" applyFont="1" applyFill="1" applyBorder="1" applyAlignment="1">
      <alignment horizontal="center" vertical="center" wrapText="1"/>
    </xf>
    <xf numFmtId="9" fontId="44" fillId="2" borderId="23" xfId="177" applyNumberFormat="1" applyFont="1" applyFill="1" applyBorder="1" applyAlignment="1">
      <alignment horizontal="center" vertical="center" wrapText="1"/>
    </xf>
    <xf numFmtId="0" fontId="50" fillId="0" borderId="23" xfId="174" applyFont="1" applyBorder="1" applyAlignment="1">
      <alignment horizontal="center" vertical="center" wrapText="1"/>
    </xf>
    <xf numFmtId="0" fontId="49" fillId="0" borderId="23" xfId="1" applyFont="1" applyFill="1" applyBorder="1" applyAlignment="1" applyProtection="1">
      <alignment horizontal="center" vertical="center" wrapText="1"/>
      <protection locked="0"/>
    </xf>
    <xf numFmtId="0" fontId="44" fillId="0" borderId="23" xfId="166" applyFont="1" applyBorder="1" applyAlignment="1" applyProtection="1">
      <alignment horizontal="center" vertical="center"/>
      <protection locked="0"/>
    </xf>
    <xf numFmtId="0" fontId="64" fillId="21" borderId="23" xfId="166" applyFont="1" applyFill="1" applyBorder="1" applyAlignment="1" applyProtection="1">
      <alignment horizontal="center" vertical="center" wrapText="1"/>
      <protection locked="0"/>
    </xf>
    <xf numFmtId="0" fontId="64" fillId="24" borderId="23" xfId="166" applyFont="1" applyFill="1" applyBorder="1" applyAlignment="1" applyProtection="1">
      <alignment horizontal="center" vertical="center" wrapText="1"/>
      <protection locked="0"/>
    </xf>
    <xf numFmtId="0" fontId="64" fillId="12" borderId="23" xfId="166" applyFont="1" applyFill="1" applyBorder="1" applyAlignment="1" applyProtection="1">
      <alignment horizontal="center" vertical="center" wrapText="1"/>
      <protection locked="0"/>
    </xf>
    <xf numFmtId="1" fontId="50" fillId="0" borderId="23" xfId="166" applyNumberFormat="1" applyFont="1" applyBorder="1" applyAlignment="1">
      <alignment horizontal="center" vertical="center"/>
    </xf>
    <xf numFmtId="1" fontId="50" fillId="8" borderId="23" xfId="166" applyNumberFormat="1" applyFont="1" applyFill="1" applyBorder="1" applyAlignment="1">
      <alignment horizontal="center" vertical="center"/>
    </xf>
    <xf numFmtId="1" fontId="50" fillId="0" borderId="23" xfId="168" applyNumberFormat="1" applyFont="1" applyBorder="1" applyAlignment="1">
      <alignment horizontal="center" vertical="center"/>
    </xf>
    <xf numFmtId="166" fontId="49" fillId="8" borderId="23" xfId="173" applyNumberFormat="1" applyFont="1" applyFill="1" applyBorder="1" applyAlignment="1">
      <alignment horizontal="center" vertical="center" wrapText="1"/>
    </xf>
    <xf numFmtId="9" fontId="49" fillId="2" borderId="23" xfId="172" applyNumberFormat="1" applyFont="1" applyFill="1" applyBorder="1" applyAlignment="1">
      <alignment horizontal="center" vertical="center"/>
    </xf>
    <xf numFmtId="9" fontId="50" fillId="0" borderId="23" xfId="170" applyFont="1" applyFill="1" applyBorder="1" applyAlignment="1">
      <alignment horizontal="center" vertical="center"/>
    </xf>
    <xf numFmtId="9" fontId="49" fillId="0" borderId="23" xfId="166" applyNumberFormat="1" applyFont="1" applyBorder="1" applyAlignment="1" applyProtection="1">
      <alignment horizontal="center" vertical="center"/>
      <protection locked="0"/>
    </xf>
    <xf numFmtId="9" fontId="50" fillId="2" borderId="23" xfId="168" applyNumberFormat="1" applyFont="1" applyFill="1" applyBorder="1" applyAlignment="1">
      <alignment horizontal="center" vertical="center"/>
    </xf>
    <xf numFmtId="9" fontId="49" fillId="0" borderId="23" xfId="170" applyFont="1" applyBorder="1" applyAlignment="1">
      <alignment horizontal="center" vertical="center" wrapText="1"/>
    </xf>
    <xf numFmtId="9" fontId="44" fillId="2" borderId="23" xfId="168" applyNumberFormat="1" applyFont="1" applyFill="1" applyBorder="1" applyAlignment="1">
      <alignment horizontal="center" vertical="center"/>
    </xf>
    <xf numFmtId="10" fontId="44" fillId="2" borderId="23" xfId="168" applyNumberFormat="1" applyFont="1" applyFill="1" applyBorder="1" applyAlignment="1">
      <alignment horizontal="center" vertical="center"/>
    </xf>
    <xf numFmtId="9" fontId="46" fillId="0" borderId="0" xfId="170" applyFont="1" applyFill="1" applyBorder="1" applyAlignment="1">
      <alignment horizontal="center" vertical="center"/>
    </xf>
    <xf numFmtId="166" fontId="50" fillId="0" borderId="23" xfId="166" applyNumberFormat="1" applyFont="1" applyBorder="1" applyAlignment="1">
      <alignment horizontal="center" vertical="center"/>
    </xf>
    <xf numFmtId="10" fontId="50" fillId="2" borderId="23" xfId="168" applyNumberFormat="1" applyFont="1" applyFill="1" applyBorder="1" applyAlignment="1">
      <alignment horizontal="center" vertical="center"/>
    </xf>
    <xf numFmtId="0" fontId="49" fillId="0" borderId="23" xfId="20" applyNumberFormat="1" applyFont="1" applyFill="1" applyBorder="1" applyAlignment="1" applyProtection="1">
      <alignment horizontal="center" vertical="center" wrapText="1"/>
      <protection hidden="1"/>
    </xf>
    <xf numFmtId="9" fontId="49" fillId="0" borderId="23" xfId="170" applyFont="1" applyFill="1" applyBorder="1" applyAlignment="1">
      <alignment horizontal="center" vertical="center" wrapText="1"/>
    </xf>
    <xf numFmtId="0" fontId="69" fillId="30" borderId="23" xfId="166" applyFont="1" applyFill="1" applyBorder="1" applyAlignment="1" applyProtection="1">
      <alignment horizontal="center" vertical="center" wrapText="1"/>
      <protection locked="0"/>
    </xf>
    <xf numFmtId="0" fontId="69" fillId="31" borderId="23" xfId="166" applyFont="1" applyFill="1" applyBorder="1" applyAlignment="1" applyProtection="1">
      <alignment horizontal="center" vertical="center" wrapText="1"/>
      <protection locked="0"/>
    </xf>
    <xf numFmtId="0" fontId="69" fillId="32" borderId="23" xfId="166" applyFont="1" applyFill="1" applyBorder="1" applyAlignment="1" applyProtection="1">
      <alignment horizontal="center" vertical="center" wrapText="1"/>
      <protection locked="0"/>
    </xf>
    <xf numFmtId="1" fontId="50" fillId="0" borderId="23" xfId="174" applyNumberFormat="1" applyFont="1" applyBorder="1" applyAlignment="1">
      <alignment horizontal="center" vertical="center"/>
    </xf>
    <xf numFmtId="0" fontId="50" fillId="0" borderId="23" xfId="174" applyFont="1" applyBorder="1" applyAlignment="1">
      <alignment horizontal="center" vertical="center"/>
    </xf>
    <xf numFmtId="0" fontId="64" fillId="7" borderId="23" xfId="178" applyFont="1" applyFill="1" applyBorder="1" applyAlignment="1">
      <alignment horizontal="center" vertical="center"/>
    </xf>
    <xf numFmtId="9" fontId="44" fillId="2" borderId="23" xfId="177" applyNumberFormat="1" applyFont="1" applyFill="1" applyBorder="1" applyAlignment="1">
      <alignment horizontal="center" vertical="center"/>
    </xf>
    <xf numFmtId="1" fontId="55" fillId="0" borderId="19" xfId="174" applyNumberFormat="1" applyFont="1" applyBorder="1" applyAlignment="1">
      <alignment horizontal="center" vertical="center"/>
    </xf>
    <xf numFmtId="0" fontId="55" fillId="0" borderId="5" xfId="174" applyFont="1" applyBorder="1" applyAlignment="1">
      <alignment horizontal="center" vertical="center"/>
    </xf>
    <xf numFmtId="10" fontId="49" fillId="8" borderId="5" xfId="4" applyNumberFormat="1" applyFont="1" applyFill="1" applyBorder="1" applyAlignment="1">
      <alignment horizontal="center" vertical="center" wrapText="1"/>
    </xf>
    <xf numFmtId="9" fontId="55" fillId="2" borderId="5" xfId="177" applyNumberFormat="1" applyFont="1" applyFill="1" applyBorder="1" applyAlignment="1">
      <alignment horizontal="center" vertical="center"/>
    </xf>
    <xf numFmtId="0" fontId="39" fillId="0" borderId="23" xfId="166" applyFont="1" applyBorder="1" applyAlignment="1" applyProtection="1">
      <alignment vertical="center"/>
      <protection locked="0"/>
    </xf>
    <xf numFmtId="0" fontId="60" fillId="27" borderId="23" xfId="166" applyFont="1" applyFill="1" applyBorder="1" applyAlignment="1" applyProtection="1">
      <alignment horizontal="centerContinuous" vertical="center"/>
      <protection locked="0"/>
    </xf>
    <xf numFmtId="0" fontId="60" fillId="28" borderId="23" xfId="166" applyFont="1" applyFill="1" applyBorder="1" applyAlignment="1" applyProtection="1">
      <alignment horizontal="centerContinuous" vertical="center"/>
      <protection locked="0"/>
    </xf>
    <xf numFmtId="0" fontId="60" fillId="29" borderId="23" xfId="166" applyFont="1" applyFill="1" applyBorder="1" applyAlignment="1" applyProtection="1">
      <alignment horizontal="centerContinuous" vertical="center"/>
      <protection locked="0"/>
    </xf>
    <xf numFmtId="0" fontId="62" fillId="30" borderId="23" xfId="166" applyFont="1" applyFill="1" applyBorder="1" applyAlignment="1" applyProtection="1">
      <alignment horizontal="center" vertical="center" wrapText="1"/>
      <protection locked="0"/>
    </xf>
    <xf numFmtId="0" fontId="62" fillId="31" borderId="23" xfId="166" applyFont="1" applyFill="1" applyBorder="1" applyAlignment="1" applyProtection="1">
      <alignment horizontal="center" vertical="center" wrapText="1"/>
      <protection locked="0"/>
    </xf>
    <xf numFmtId="0" fontId="62" fillId="32" borderId="23" xfId="166" applyFont="1" applyFill="1" applyBorder="1" applyAlignment="1" applyProtection="1">
      <alignment horizontal="center" vertical="center" wrapText="1"/>
      <protection locked="0"/>
    </xf>
    <xf numFmtId="0" fontId="74" fillId="7" borderId="5" xfId="178" applyFont="1" applyFill="1" applyBorder="1" applyAlignment="1">
      <alignment horizontal="centerContinuous" vertical="center"/>
    </xf>
    <xf numFmtId="0" fontId="74" fillId="21" borderId="4" xfId="174" applyFont="1" applyFill="1" applyBorder="1" applyAlignment="1" applyProtection="1">
      <alignment horizontal="center" vertical="center" wrapText="1"/>
      <protection locked="0"/>
    </xf>
    <xf numFmtId="0" fontId="44" fillId="0" borderId="23" xfId="166" applyFont="1" applyBorder="1" applyAlignment="1" applyProtection="1">
      <alignment vertical="center" wrapText="1"/>
      <protection locked="0"/>
    </xf>
    <xf numFmtId="0" fontId="44" fillId="27" borderId="23" xfId="166" applyFont="1" applyFill="1" applyBorder="1" applyAlignment="1" applyProtection="1">
      <alignment horizontal="centerContinuous" vertical="center" wrapText="1"/>
      <protection locked="0"/>
    </xf>
    <xf numFmtId="0" fontId="44" fillId="28" borderId="23" xfId="166" applyFont="1" applyFill="1" applyBorder="1" applyAlignment="1" applyProtection="1">
      <alignment horizontal="centerContinuous" vertical="center" wrapText="1"/>
      <protection locked="0"/>
    </xf>
    <xf numFmtId="0" fontId="44" fillId="29" borderId="23" xfId="166" applyFont="1" applyFill="1" applyBorder="1" applyAlignment="1" applyProtection="1">
      <alignment horizontal="centerContinuous" vertical="center" wrapText="1"/>
      <protection locked="0"/>
    </xf>
    <xf numFmtId="1" fontId="44" fillId="8" borderId="23" xfId="174" applyNumberFormat="1" applyFont="1" applyFill="1" applyBorder="1" applyAlignment="1">
      <alignment horizontal="center" vertical="center" wrapText="1"/>
    </xf>
    <xf numFmtId="1" fontId="44" fillId="0" borderId="23" xfId="177" applyNumberFormat="1" applyFont="1" applyBorder="1" applyAlignment="1">
      <alignment horizontal="center" vertical="center" wrapText="1"/>
    </xf>
    <xf numFmtId="9" fontId="46" fillId="2" borderId="23" xfId="178" applyNumberFormat="1" applyFont="1" applyFill="1" applyBorder="1" applyAlignment="1">
      <alignment horizontal="center" vertical="center" wrapText="1"/>
    </xf>
    <xf numFmtId="9" fontId="44" fillId="0" borderId="23" xfId="179" applyFont="1" applyBorder="1" applyAlignment="1">
      <alignment horizontal="center" vertical="center" wrapText="1"/>
    </xf>
    <xf numFmtId="0" fontId="64" fillId="21" borderId="13" xfId="174" applyFont="1" applyFill="1" applyBorder="1" applyAlignment="1" applyProtection="1">
      <alignment horizontal="center" vertical="center" wrapText="1"/>
      <protection locked="0"/>
    </xf>
    <xf numFmtId="1" fontId="50" fillId="0" borderId="13" xfId="174" applyNumberFormat="1" applyFont="1" applyBorder="1" applyAlignment="1">
      <alignment horizontal="center" vertical="center" wrapText="1"/>
    </xf>
    <xf numFmtId="9" fontId="46" fillId="8" borderId="13" xfId="4" applyNumberFormat="1" applyFont="1" applyFill="1" applyBorder="1" applyAlignment="1">
      <alignment horizontal="center" vertical="center" wrapText="1"/>
    </xf>
    <xf numFmtId="0" fontId="64" fillId="7" borderId="13" xfId="178" applyFont="1" applyFill="1" applyBorder="1" applyAlignment="1">
      <alignment horizontal="centerContinuous" vertical="center" wrapText="1"/>
    </xf>
    <xf numFmtId="9" fontId="44" fillId="2" borderId="13" xfId="177" applyNumberFormat="1" applyFont="1" applyFill="1" applyBorder="1" applyAlignment="1">
      <alignment horizontal="center" vertical="center" wrapText="1"/>
    </xf>
    <xf numFmtId="0" fontId="64" fillId="7" borderId="23" xfId="172" applyFont="1" applyFill="1" applyBorder="1" applyAlignment="1">
      <alignment horizontal="center" vertical="center"/>
    </xf>
    <xf numFmtId="0" fontId="44" fillId="13" borderId="23" xfId="166" applyFont="1" applyFill="1" applyBorder="1" applyAlignment="1" applyProtection="1">
      <alignment horizontal="center" vertical="center"/>
      <protection locked="0"/>
    </xf>
    <xf numFmtId="0" fontId="44" fillId="22" borderId="23" xfId="166" applyFont="1" applyFill="1" applyBorder="1" applyAlignment="1" applyProtection="1">
      <alignment horizontal="center" vertical="center"/>
      <protection locked="0"/>
    </xf>
    <xf numFmtId="0" fontId="44" fillId="23" borderId="23" xfId="166" applyFont="1" applyFill="1" applyBorder="1" applyAlignment="1" applyProtection="1">
      <alignment horizontal="center" vertical="center"/>
      <protection locked="0"/>
    </xf>
    <xf numFmtId="0" fontId="0" fillId="0" borderId="0" xfId="0" applyAlignment="1">
      <alignment wrapText="1"/>
    </xf>
    <xf numFmtId="9" fontId="0" fillId="0" borderId="0" xfId="0" applyNumberFormat="1"/>
    <xf numFmtId="0" fontId="75" fillId="26" borderId="23" xfId="0" applyFont="1" applyFill="1" applyBorder="1" applyAlignment="1">
      <alignment horizontal="center" vertical="center" wrapText="1"/>
    </xf>
    <xf numFmtId="0" fontId="75" fillId="8" borderId="23" xfId="4" applyFont="1" applyFill="1" applyBorder="1" applyAlignment="1">
      <alignment horizontal="center" vertical="center" wrapText="1"/>
    </xf>
    <xf numFmtId="0" fontId="75" fillId="0" borderId="23" xfId="0" applyFont="1" applyBorder="1" applyAlignment="1">
      <alignment horizontal="center" vertical="center" wrapText="1"/>
    </xf>
    <xf numFmtId="0" fontId="78" fillId="0" borderId="0" xfId="0" applyFont="1"/>
    <xf numFmtId="0" fontId="64" fillId="21" borderId="26" xfId="0" applyFont="1" applyFill="1" applyBorder="1" applyAlignment="1" applyProtection="1">
      <alignment horizontal="center" vertical="center" wrapText="1"/>
      <protection locked="0"/>
    </xf>
    <xf numFmtId="0" fontId="64" fillId="24" borderId="26" xfId="0" applyFont="1" applyFill="1" applyBorder="1" applyAlignment="1" applyProtection="1">
      <alignment horizontal="center" vertical="center" wrapText="1"/>
      <protection locked="0"/>
    </xf>
    <xf numFmtId="0" fontId="64" fillId="21" borderId="16" xfId="0" applyFont="1" applyFill="1" applyBorder="1" applyAlignment="1" applyProtection="1">
      <alignment horizontal="center" vertical="center" wrapText="1"/>
      <protection locked="0"/>
    </xf>
    <xf numFmtId="0" fontId="64" fillId="24" borderId="18" xfId="0" applyFont="1" applyFill="1" applyBorder="1" applyAlignment="1" applyProtection="1">
      <alignment horizontal="center" vertical="center" wrapText="1"/>
      <protection locked="0"/>
    </xf>
    <xf numFmtId="0" fontId="64" fillId="24" borderId="33" xfId="0" applyFont="1" applyFill="1" applyBorder="1" applyAlignment="1" applyProtection="1">
      <alignment horizontal="center" vertical="center" wrapText="1"/>
      <protection locked="0"/>
    </xf>
    <xf numFmtId="0" fontId="64" fillId="21" borderId="18" xfId="0" applyFont="1" applyFill="1" applyBorder="1" applyAlignment="1" applyProtection="1">
      <alignment horizontal="center" vertical="center" wrapText="1"/>
      <protection locked="0"/>
    </xf>
    <xf numFmtId="1" fontId="50" fillId="8" borderId="31" xfId="0" applyNumberFormat="1" applyFont="1" applyFill="1" applyBorder="1" applyAlignment="1">
      <alignment horizontal="center" vertical="center" wrapText="1"/>
    </xf>
    <xf numFmtId="1" fontId="50" fillId="0" borderId="31" xfId="56" applyNumberFormat="1" applyFont="1" applyBorder="1" applyAlignment="1">
      <alignment horizontal="center" vertical="center" wrapText="1"/>
    </xf>
    <xf numFmtId="9" fontId="49" fillId="2" borderId="31" xfId="188" applyNumberFormat="1" applyFont="1" applyFill="1" applyBorder="1" applyAlignment="1">
      <alignment horizontal="center" vertical="center" wrapText="1"/>
    </xf>
    <xf numFmtId="9" fontId="50" fillId="0" borderId="31" xfId="187" applyFont="1" applyFill="1" applyBorder="1" applyAlignment="1">
      <alignment horizontal="center" vertical="center" wrapText="1"/>
    </xf>
    <xf numFmtId="9" fontId="49" fillId="0" borderId="31" xfId="0" applyNumberFormat="1" applyFont="1" applyBorder="1" applyAlignment="1" applyProtection="1">
      <alignment horizontal="center" vertical="center" wrapText="1"/>
      <protection locked="0"/>
    </xf>
    <xf numFmtId="10" fontId="50" fillId="2" borderId="31" xfId="56" applyNumberFormat="1" applyFont="1" applyFill="1" applyBorder="1" applyAlignment="1">
      <alignment horizontal="center" vertical="center" wrapText="1"/>
    </xf>
    <xf numFmtId="9" fontId="49" fillId="0" borderId="31" xfId="187" applyFont="1" applyBorder="1" applyAlignment="1">
      <alignment horizontal="center" vertical="center" wrapText="1"/>
    </xf>
    <xf numFmtId="0" fontId="64" fillId="12" borderId="26" xfId="0" applyFont="1" applyFill="1" applyBorder="1" applyAlignment="1" applyProtection="1">
      <alignment horizontal="center" vertical="center" wrapText="1"/>
      <protection locked="0"/>
    </xf>
    <xf numFmtId="166" fontId="50" fillId="0" borderId="13" xfId="0" applyNumberFormat="1" applyFont="1" applyBorder="1" applyAlignment="1">
      <alignment horizontal="center" vertical="center" wrapText="1"/>
    </xf>
    <xf numFmtId="9" fontId="46" fillId="2" borderId="13" xfId="188" applyNumberFormat="1" applyFont="1" applyFill="1" applyBorder="1" applyAlignment="1">
      <alignment horizontal="center" vertical="center" wrapText="1"/>
    </xf>
    <xf numFmtId="10" fontId="44" fillId="2" borderId="13" xfId="56" applyNumberFormat="1" applyFont="1" applyFill="1" applyBorder="1" applyAlignment="1">
      <alignment horizontal="center" vertical="center" wrapText="1"/>
    </xf>
    <xf numFmtId="0" fontId="64" fillId="21" borderId="33" xfId="0" applyFont="1" applyFill="1" applyBorder="1" applyAlignment="1" applyProtection="1">
      <alignment horizontal="center" vertical="center" wrapText="1"/>
      <protection locked="0"/>
    </xf>
    <xf numFmtId="0" fontId="54" fillId="0" borderId="31" xfId="0" applyFont="1" applyBorder="1" applyAlignment="1">
      <alignment horizontal="center" vertical="center" wrapText="1"/>
    </xf>
    <xf numFmtId="0" fontId="33" fillId="41" borderId="23" xfId="0" applyFont="1" applyFill="1" applyBorder="1" applyAlignment="1">
      <alignment horizontal="center" vertical="center" wrapText="1"/>
    </xf>
    <xf numFmtId="0" fontId="34" fillId="41" borderId="23" xfId="0" applyFont="1" applyFill="1" applyBorder="1" applyAlignment="1">
      <alignment horizontal="center" vertical="center" wrapText="1"/>
    </xf>
    <xf numFmtId="0" fontId="0" fillId="41" borderId="23" xfId="0" applyFill="1" applyBorder="1" applyAlignment="1">
      <alignment horizontal="center" vertical="center" wrapText="1"/>
    </xf>
    <xf numFmtId="0" fontId="78" fillId="0" borderId="0" xfId="0" applyFont="1" applyAlignment="1">
      <alignment wrapText="1"/>
    </xf>
    <xf numFmtId="0" fontId="54" fillId="26" borderId="23" xfId="0" applyFont="1" applyFill="1" applyBorder="1" applyAlignment="1">
      <alignment horizontal="center" vertical="center" wrapText="1"/>
    </xf>
    <xf numFmtId="0" fontId="54" fillId="0" borderId="23" xfId="0" applyFont="1" applyBorder="1" applyAlignment="1">
      <alignment horizontal="center" vertical="center"/>
    </xf>
    <xf numFmtId="0" fontId="75" fillId="8" borderId="23" xfId="173" applyFont="1" applyFill="1" applyBorder="1" applyAlignment="1">
      <alignment horizontal="center" vertical="center" wrapText="1"/>
    </xf>
    <xf numFmtId="0" fontId="54" fillId="8" borderId="23" xfId="173" applyFont="1" applyFill="1" applyBorder="1" applyAlignment="1">
      <alignment horizontal="center" vertical="center" wrapText="1"/>
    </xf>
    <xf numFmtId="0" fontId="54" fillId="0" borderId="23" xfId="166" applyFont="1" applyBorder="1" applyAlignment="1">
      <alignment horizontal="center" vertical="center" wrapText="1"/>
    </xf>
    <xf numFmtId="0" fontId="75" fillId="0" borderId="23" xfId="166" applyFont="1" applyBorder="1" applyAlignment="1">
      <alignment horizontal="center" vertical="center" wrapText="1"/>
    </xf>
    <xf numFmtId="0" fontId="54" fillId="8" borderId="23" xfId="5" applyFont="1" applyFill="1" applyBorder="1" applyAlignment="1">
      <alignment horizontal="center" vertical="center" wrapText="1"/>
    </xf>
    <xf numFmtId="0" fontId="54" fillId="0" borderId="23" xfId="4" applyFont="1" applyBorder="1" applyAlignment="1">
      <alignment horizontal="center" vertical="center" wrapText="1"/>
    </xf>
    <xf numFmtId="0" fontId="54" fillId="0" borderId="23" xfId="166" applyFont="1" applyBorder="1" applyAlignment="1" applyProtection="1">
      <alignment horizontal="center" vertical="center" wrapText="1"/>
      <protection locked="0"/>
    </xf>
    <xf numFmtId="0" fontId="75" fillId="0" borderId="23" xfId="166" applyFont="1" applyBorder="1" applyAlignment="1" applyProtection="1">
      <alignment horizontal="center" vertical="center" wrapText="1"/>
      <protection locked="0"/>
    </xf>
    <xf numFmtId="0" fontId="54" fillId="0" borderId="23" xfId="5" applyFont="1" applyBorder="1" applyAlignment="1">
      <alignment horizontal="center" vertical="center" wrapText="1"/>
    </xf>
    <xf numFmtId="0" fontId="75" fillId="0" borderId="23" xfId="4" applyFont="1" applyBorder="1" applyAlignment="1">
      <alignment horizontal="center" vertical="center" wrapText="1"/>
    </xf>
    <xf numFmtId="0" fontId="54" fillId="8" borderId="23" xfId="4" applyFont="1" applyFill="1" applyBorder="1" applyAlignment="1">
      <alignment horizontal="center" vertical="center" wrapText="1"/>
    </xf>
    <xf numFmtId="0" fontId="54" fillId="8" borderId="23" xfId="183" applyFont="1" applyFill="1" applyBorder="1" applyAlignment="1">
      <alignment horizontal="center" vertical="center" wrapText="1"/>
    </xf>
    <xf numFmtId="0" fontId="75" fillId="0" borderId="23" xfId="183" applyFont="1" applyBorder="1" applyAlignment="1">
      <alignment horizontal="center" vertical="center" wrapText="1"/>
    </xf>
    <xf numFmtId="0" fontId="54" fillId="0" borderId="23" xfId="183" applyFont="1" applyBorder="1" applyAlignment="1">
      <alignment horizontal="center" vertical="center" wrapText="1"/>
    </xf>
    <xf numFmtId="0" fontId="54" fillId="0" borderId="23" xfId="158" applyFont="1" applyBorder="1" applyAlignment="1">
      <alignment horizontal="left" vertical="center" wrapText="1"/>
    </xf>
    <xf numFmtId="0" fontId="54" fillId="0" borderId="23" xfId="183" applyFont="1" applyBorder="1" applyAlignment="1">
      <alignment horizontal="left" vertical="center" wrapText="1"/>
    </xf>
    <xf numFmtId="0" fontId="54" fillId="0" borderId="23" xfId="4" applyFont="1" applyBorder="1" applyAlignment="1" applyProtection="1">
      <alignment horizontal="center" vertical="center" wrapText="1"/>
      <protection locked="0"/>
    </xf>
    <xf numFmtId="46" fontId="54" fillId="0" borderId="23" xfId="183" applyNumberFormat="1" applyFont="1" applyBorder="1" applyAlignment="1">
      <alignment horizontal="center" vertical="center" wrapText="1"/>
    </xf>
    <xf numFmtId="0" fontId="54" fillId="0" borderId="23" xfId="158" applyFont="1" applyBorder="1" applyAlignment="1">
      <alignment horizontal="center" vertical="center" wrapText="1"/>
    </xf>
    <xf numFmtId="14" fontId="54" fillId="0" borderId="23" xfId="183" applyNumberFormat="1" applyFont="1" applyBorder="1" applyAlignment="1">
      <alignment horizontal="center" vertical="center" wrapText="1"/>
    </xf>
    <xf numFmtId="0" fontId="54" fillId="8" borderId="23" xfId="0" applyFont="1" applyFill="1" applyBorder="1" applyAlignment="1">
      <alignment horizontal="center" vertical="center" wrapText="1"/>
    </xf>
    <xf numFmtId="0" fontId="54" fillId="8" borderId="23" xfId="0" applyFont="1" applyFill="1" applyBorder="1" applyAlignment="1">
      <alignment horizontal="center" vertical="center"/>
    </xf>
    <xf numFmtId="46" fontId="54" fillId="0" borderId="23" xfId="0" applyNumberFormat="1" applyFont="1" applyBorder="1" applyAlignment="1">
      <alignment horizontal="center" vertical="center" wrapText="1"/>
    </xf>
    <xf numFmtId="9" fontId="54" fillId="8" borderId="23" xfId="0" applyNumberFormat="1" applyFont="1" applyFill="1" applyBorder="1" applyAlignment="1">
      <alignment horizontal="center" vertical="center" wrapText="1"/>
    </xf>
    <xf numFmtId="0" fontId="33" fillId="8" borderId="24" xfId="0" applyFont="1" applyFill="1" applyBorder="1" applyAlignment="1">
      <alignment horizontal="center" vertical="center" wrapText="1"/>
    </xf>
    <xf numFmtId="9" fontId="50" fillId="0" borderId="31" xfId="187" applyFont="1" applyBorder="1" applyAlignment="1">
      <alignment horizontal="center" vertical="center" wrapText="1"/>
    </xf>
    <xf numFmtId="9" fontId="46" fillId="0" borderId="0" xfId="187" applyFont="1" applyAlignment="1">
      <alignment horizontal="center" vertical="center" wrapText="1"/>
    </xf>
    <xf numFmtId="0" fontId="87" fillId="0" borderId="23" xfId="166" applyFont="1" applyBorder="1" applyAlignment="1" applyProtection="1">
      <alignment horizontal="center" vertical="center"/>
      <protection locked="0"/>
    </xf>
    <xf numFmtId="0" fontId="58" fillId="8" borderId="25" xfId="0" applyFont="1" applyFill="1" applyBorder="1" applyAlignment="1">
      <alignment horizontal="center" vertical="center"/>
    </xf>
    <xf numFmtId="0" fontId="35" fillId="39" borderId="54" xfId="0" applyFont="1" applyFill="1" applyBorder="1" applyAlignment="1">
      <alignment horizontal="center" vertical="center" wrapText="1"/>
    </xf>
    <xf numFmtId="0" fontId="33" fillId="39" borderId="54" xfId="0" applyFont="1" applyFill="1" applyBorder="1" applyAlignment="1">
      <alignment horizontal="center" vertical="center" wrapText="1"/>
    </xf>
    <xf numFmtId="0" fontId="54" fillId="8" borderId="23" xfId="4" applyFont="1" applyFill="1" applyBorder="1" applyAlignment="1">
      <alignment horizontal="left" vertical="center" wrapText="1"/>
    </xf>
    <xf numFmtId="0" fontId="75" fillId="8" borderId="31" xfId="84" applyFont="1" applyFill="1" applyBorder="1" applyAlignment="1">
      <alignment horizontal="left" vertical="center" wrapText="1"/>
    </xf>
    <xf numFmtId="0" fontId="54" fillId="0" borderId="31" xfId="0" applyFont="1" applyBorder="1" applyAlignment="1">
      <alignment horizontal="left" vertical="center" wrapText="1"/>
    </xf>
    <xf numFmtId="0" fontId="54" fillId="8" borderId="31" xfId="84" applyFont="1" applyFill="1" applyBorder="1" applyAlignment="1">
      <alignment horizontal="left" vertical="center" wrapText="1"/>
    </xf>
    <xf numFmtId="0" fontId="54" fillId="8" borderId="31" xfId="84" applyFont="1" applyFill="1" applyBorder="1" applyAlignment="1">
      <alignment horizontal="center" vertical="center" wrapText="1"/>
    </xf>
    <xf numFmtId="0" fontId="75" fillId="0" borderId="31" xfId="0" applyFont="1" applyBorder="1" applyAlignment="1">
      <alignment horizontal="center" vertical="center" wrapText="1"/>
    </xf>
    <xf numFmtId="0" fontId="75" fillId="0" borderId="31" xfId="0" applyFont="1" applyBorder="1" applyAlignment="1">
      <alignment horizontal="left" vertical="center" wrapText="1"/>
    </xf>
    <xf numFmtId="0" fontId="54" fillId="0" borderId="2" xfId="0" applyFont="1" applyBorder="1" applyAlignment="1">
      <alignment horizontal="left" vertical="center" wrapText="1"/>
    </xf>
    <xf numFmtId="0" fontId="54" fillId="0" borderId="7" xfId="0" applyFont="1" applyBorder="1" applyAlignment="1">
      <alignment horizontal="left" vertical="center" wrapText="1"/>
    </xf>
    <xf numFmtId="166" fontId="54" fillId="8" borderId="31" xfId="84" applyNumberFormat="1" applyFont="1" applyFill="1" applyBorder="1" applyAlignment="1">
      <alignment horizontal="center" vertical="center" wrapText="1"/>
    </xf>
    <xf numFmtId="0" fontId="44" fillId="39" borderId="55" xfId="0" applyFont="1" applyFill="1" applyBorder="1" applyAlignment="1">
      <alignment horizontal="center"/>
    </xf>
    <xf numFmtId="0" fontId="44" fillId="39" borderId="56" xfId="0" applyFont="1" applyFill="1" applyBorder="1" applyAlignment="1">
      <alignment horizontal="center"/>
    </xf>
    <xf numFmtId="0" fontId="0" fillId="0" borderId="0" xfId="0" applyAlignment="1">
      <alignment vertical="center"/>
    </xf>
    <xf numFmtId="0" fontId="89" fillId="0" borderId="0" xfId="0" applyFont="1"/>
    <xf numFmtId="0" fontId="0" fillId="0" borderId="57" xfId="0" applyBorder="1" applyAlignment="1">
      <alignment horizontal="center" vertical="center"/>
    </xf>
    <xf numFmtId="0" fontId="44" fillId="8" borderId="23" xfId="174" applyFont="1" applyFill="1" applyBorder="1" applyAlignment="1" applyProtection="1">
      <alignment horizontal="center" vertical="center" wrapText="1"/>
      <protection locked="0"/>
    </xf>
    <xf numFmtId="166" fontId="44" fillId="0" borderId="23" xfId="174" applyNumberFormat="1" applyFont="1" applyBorder="1" applyAlignment="1">
      <alignment horizontal="center" vertical="center" wrapText="1"/>
    </xf>
    <xf numFmtId="0" fontId="44" fillId="0" borderId="61" xfId="174" applyFont="1" applyBorder="1" applyAlignment="1" applyProtection="1">
      <alignment horizontal="center" vertical="center" wrapText="1"/>
      <protection locked="0"/>
    </xf>
    <xf numFmtId="0" fontId="44" fillId="0" borderId="23" xfId="0" applyFont="1" applyBorder="1" applyAlignment="1" applyProtection="1">
      <alignment horizontal="center" vertical="center"/>
      <protection locked="0"/>
    </xf>
    <xf numFmtId="10" fontId="50" fillId="33" borderId="13" xfId="0" applyNumberFormat="1" applyFont="1" applyFill="1" applyBorder="1" applyAlignment="1">
      <alignment horizontal="center" vertical="center" wrapText="1"/>
    </xf>
    <xf numFmtId="0" fontId="0" fillId="0" borderId="0" xfId="0" applyAlignment="1">
      <alignment horizontal="center"/>
    </xf>
    <xf numFmtId="14" fontId="58" fillId="0" borderId="31"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26" borderId="5" xfId="0" applyFont="1" applyFill="1" applyBorder="1" applyAlignment="1">
      <alignment horizontal="center" vertical="center" wrapText="1"/>
    </xf>
    <xf numFmtId="0" fontId="46" fillId="26" borderId="2" xfId="0" applyFont="1" applyFill="1" applyBorder="1" applyAlignment="1">
      <alignment horizontal="center" vertical="center" wrapText="1"/>
    </xf>
    <xf numFmtId="9" fontId="46" fillId="26" borderId="2" xfId="0" applyNumberFormat="1" applyFont="1" applyFill="1" applyBorder="1" applyAlignment="1">
      <alignment horizontal="center" vertical="center" wrapText="1"/>
    </xf>
    <xf numFmtId="0" fontId="46" fillId="26" borderId="44" xfId="0" applyFont="1" applyFill="1" applyBorder="1" applyAlignment="1">
      <alignment horizontal="center" vertical="center" wrapText="1"/>
    </xf>
    <xf numFmtId="0" fontId="46" fillId="26" borderId="7" xfId="0" applyFont="1" applyFill="1" applyBorder="1" applyAlignment="1">
      <alignment horizontal="center" vertical="center" wrapText="1"/>
    </xf>
    <xf numFmtId="9" fontId="46" fillId="26" borderId="7" xfId="0" applyNumberFormat="1" applyFont="1" applyFill="1" applyBorder="1" applyAlignment="1">
      <alignment horizontal="center" vertical="center" wrapText="1"/>
    </xf>
    <xf numFmtId="0" fontId="46" fillId="26" borderId="31" xfId="0" applyFont="1" applyFill="1" applyBorder="1" applyAlignment="1">
      <alignment horizontal="center" vertical="center" wrapText="1"/>
    </xf>
    <xf numFmtId="0" fontId="46" fillId="26" borderId="66" xfId="0" applyFont="1" applyFill="1" applyBorder="1" applyAlignment="1">
      <alignment horizontal="center" vertical="center" wrapText="1"/>
    </xf>
    <xf numFmtId="0" fontId="92" fillId="26" borderId="23" xfId="0" applyFont="1" applyFill="1" applyBorder="1" applyAlignment="1">
      <alignment vertical="center" wrapText="1"/>
    </xf>
    <xf numFmtId="0" fontId="92" fillId="26" borderId="24" xfId="0" applyFont="1" applyFill="1" applyBorder="1" applyAlignment="1">
      <alignment vertical="center" wrapText="1"/>
    </xf>
    <xf numFmtId="0" fontId="92" fillId="26" borderId="13" xfId="0" applyFont="1" applyFill="1" applyBorder="1" applyAlignment="1">
      <alignment vertical="center" wrapText="1"/>
    </xf>
    <xf numFmtId="0" fontId="92" fillId="26" borderId="10" xfId="0" applyFont="1" applyFill="1" applyBorder="1" applyAlignment="1">
      <alignment vertical="center" wrapText="1"/>
    </xf>
    <xf numFmtId="0" fontId="33" fillId="34" borderId="23" xfId="0" applyFont="1" applyFill="1" applyBorder="1" applyAlignment="1">
      <alignment vertical="center" wrapText="1"/>
    </xf>
    <xf numFmtId="0" fontId="33" fillId="0" borderId="23" xfId="0" applyFont="1" applyBorder="1" applyAlignment="1">
      <alignment horizontal="center" vertical="center" wrapText="1"/>
    </xf>
    <xf numFmtId="0" fontId="58" fillId="8" borderId="61" xfId="0" applyFont="1" applyFill="1" applyBorder="1" applyAlignment="1">
      <alignment horizontal="center" vertical="center"/>
    </xf>
    <xf numFmtId="0" fontId="58" fillId="8" borderId="67" xfId="0" applyFont="1" applyFill="1" applyBorder="1" applyAlignment="1">
      <alignment horizontal="center" vertical="center"/>
    </xf>
    <xf numFmtId="9" fontId="46" fillId="3" borderId="5" xfId="4" applyNumberFormat="1" applyFont="1" applyFill="1" applyBorder="1" applyAlignment="1">
      <alignment horizontal="center" vertical="center" wrapText="1"/>
    </xf>
    <xf numFmtId="0" fontId="64" fillId="12" borderId="23" xfId="0" applyFont="1" applyFill="1" applyBorder="1" applyAlignment="1" applyProtection="1">
      <alignment horizontal="center" vertical="center"/>
      <protection locked="0"/>
    </xf>
    <xf numFmtId="0" fontId="93" fillId="0" borderId="39" xfId="0" applyFont="1" applyBorder="1" applyAlignment="1">
      <alignment vertical="center" wrapText="1"/>
    </xf>
    <xf numFmtId="0" fontId="94" fillId="0" borderId="0" xfId="0" applyFont="1"/>
    <xf numFmtId="0" fontId="46" fillId="8" borderId="31" xfId="1" applyFont="1" applyFill="1" applyBorder="1" applyAlignment="1" applyProtection="1">
      <alignment horizontal="center" vertical="center" wrapText="1"/>
      <protection locked="0"/>
    </xf>
    <xf numFmtId="0" fontId="95" fillId="0" borderId="31" xfId="0" applyFont="1" applyBorder="1" applyAlignment="1">
      <alignment horizontal="center" vertical="center" wrapText="1"/>
    </xf>
    <xf numFmtId="0" fontId="46" fillId="26" borderId="7" xfId="0" applyFont="1" applyFill="1" applyBorder="1" applyAlignment="1">
      <alignment horizontal="left" vertical="center" wrapText="1"/>
    </xf>
    <xf numFmtId="0" fontId="95" fillId="0" borderId="36" xfId="0" applyFont="1" applyBorder="1" applyAlignment="1">
      <alignment horizontal="center" vertical="center" wrapText="1"/>
    </xf>
    <xf numFmtId="0" fontId="46" fillId="8" borderId="36" xfId="1" applyFont="1" applyFill="1" applyBorder="1" applyAlignment="1" applyProtection="1">
      <alignment horizontal="center" vertical="center" wrapText="1"/>
      <protection locked="0"/>
    </xf>
    <xf numFmtId="0" fontId="46" fillId="26" borderId="31" xfId="0" applyFont="1" applyFill="1" applyBorder="1" applyAlignment="1">
      <alignment horizontal="left" vertical="center" wrapText="1"/>
    </xf>
    <xf numFmtId="0" fontId="87" fillId="20" borderId="23" xfId="0" applyFont="1" applyFill="1" applyBorder="1" applyAlignment="1" applyProtection="1">
      <alignment horizontal="center" vertical="center" wrapText="1"/>
      <protection locked="0"/>
    </xf>
    <xf numFmtId="0" fontId="87" fillId="0" borderId="23" xfId="0" applyFont="1" applyBorder="1" applyAlignment="1" applyProtection="1">
      <alignment horizontal="center" vertical="center" wrapText="1"/>
      <protection locked="0"/>
    </xf>
    <xf numFmtId="0" fontId="96" fillId="21" borderId="16" xfId="0" applyFont="1" applyFill="1" applyBorder="1" applyAlignment="1" applyProtection="1">
      <alignment horizontal="center" vertical="center" wrapText="1"/>
      <protection locked="0"/>
    </xf>
    <xf numFmtId="0" fontId="96" fillId="21" borderId="33" xfId="0" applyFont="1" applyFill="1" applyBorder="1" applyAlignment="1" applyProtection="1">
      <alignment horizontal="center" vertical="center" wrapText="1"/>
      <protection locked="0"/>
    </xf>
    <xf numFmtId="0" fontId="96" fillId="21" borderId="18" xfId="0" applyFont="1" applyFill="1" applyBorder="1" applyAlignment="1" applyProtection="1">
      <alignment horizontal="center" vertical="center" wrapText="1"/>
      <protection locked="0"/>
    </xf>
    <xf numFmtId="0" fontId="96" fillId="21" borderId="26" xfId="0" applyFont="1" applyFill="1" applyBorder="1" applyAlignment="1" applyProtection="1">
      <alignment horizontal="center" vertical="center" wrapText="1"/>
      <protection locked="0"/>
    </xf>
    <xf numFmtId="0" fontId="96" fillId="24" borderId="33" xfId="0" applyFont="1" applyFill="1" applyBorder="1" applyAlignment="1" applyProtection="1">
      <alignment horizontal="center" vertical="center" wrapText="1"/>
      <protection locked="0"/>
    </xf>
    <xf numFmtId="0" fontId="96" fillId="24" borderId="18" xfId="0" applyFont="1" applyFill="1" applyBorder="1" applyAlignment="1" applyProtection="1">
      <alignment horizontal="center" vertical="center" wrapText="1"/>
      <protection locked="0"/>
    </xf>
    <xf numFmtId="0" fontId="96" fillId="24" borderId="26" xfId="0" applyFont="1" applyFill="1" applyBorder="1" applyAlignment="1" applyProtection="1">
      <alignment horizontal="center" vertical="center" wrapText="1"/>
      <protection locked="0"/>
    </xf>
    <xf numFmtId="0" fontId="96" fillId="12" borderId="26" xfId="0" applyFont="1" applyFill="1" applyBorder="1" applyAlignment="1" applyProtection="1">
      <alignment horizontal="center" vertical="center" wrapText="1"/>
      <protection locked="0"/>
    </xf>
    <xf numFmtId="0" fontId="96" fillId="21" borderId="4" xfId="0" applyFont="1" applyFill="1" applyBorder="1" applyAlignment="1" applyProtection="1">
      <alignment horizontal="center" vertical="center" wrapText="1"/>
      <protection locked="0"/>
    </xf>
    <xf numFmtId="1" fontId="98" fillId="0" borderId="19" xfId="0" applyNumberFormat="1" applyFont="1" applyBorder="1" applyAlignment="1">
      <alignment horizontal="center" vertical="center" wrapText="1"/>
    </xf>
    <xf numFmtId="166" fontId="98" fillId="0" borderId="13" xfId="0" applyNumberFormat="1" applyFont="1" applyBorder="1" applyAlignment="1">
      <alignment horizontal="center" vertical="center" wrapText="1"/>
    </xf>
    <xf numFmtId="9" fontId="95" fillId="2" borderId="13" xfId="188" applyNumberFormat="1" applyFont="1" applyFill="1" applyBorder="1" applyAlignment="1">
      <alignment horizontal="center" vertical="center" wrapText="1"/>
    </xf>
    <xf numFmtId="9" fontId="95" fillId="0" borderId="0" xfId="187" applyFont="1" applyAlignment="1">
      <alignment horizontal="center" vertical="center" wrapText="1"/>
    </xf>
    <xf numFmtId="10" fontId="87" fillId="2" borderId="13" xfId="56" applyNumberFormat="1" applyFont="1" applyFill="1" applyBorder="1" applyAlignment="1">
      <alignment horizontal="center" vertical="center" wrapText="1"/>
    </xf>
    <xf numFmtId="169" fontId="0" fillId="0" borderId="0" xfId="0" applyNumberFormat="1" applyAlignment="1">
      <alignment horizontal="center" vertical="center"/>
    </xf>
    <xf numFmtId="0" fontId="65" fillId="4" borderId="31" xfId="0" applyFont="1" applyFill="1" applyBorder="1" applyAlignment="1">
      <alignment horizontal="center" vertical="center" wrapText="1"/>
    </xf>
    <xf numFmtId="0" fontId="33" fillId="8" borderId="31" xfId="0" applyFont="1" applyFill="1" applyBorder="1" applyAlignment="1">
      <alignment horizontal="center" vertical="center" wrapText="1"/>
    </xf>
    <xf numFmtId="9" fontId="34" fillId="8" borderId="31" xfId="4" applyNumberFormat="1" applyFont="1" applyFill="1" applyBorder="1" applyAlignment="1">
      <alignment horizontal="center" vertical="center" wrapText="1"/>
    </xf>
    <xf numFmtId="9" fontId="34" fillId="3" borderId="31" xfId="4" applyNumberFormat="1" applyFont="1" applyFill="1" applyBorder="1" applyAlignment="1">
      <alignment horizontal="center" vertical="center" wrapText="1"/>
    </xf>
    <xf numFmtId="9" fontId="44" fillId="2" borderId="23" xfId="56" applyNumberFormat="1" applyFont="1" applyFill="1" applyBorder="1" applyAlignment="1">
      <alignment horizontal="center" vertical="center"/>
    </xf>
    <xf numFmtId="9" fontId="54" fillId="0" borderId="23" xfId="170" applyFont="1" applyBorder="1" applyAlignment="1">
      <alignment horizontal="center" vertical="center" wrapText="1"/>
    </xf>
    <xf numFmtId="9" fontId="54" fillId="0" borderId="23" xfId="0" applyNumberFormat="1" applyFont="1" applyBorder="1" applyAlignment="1">
      <alignment horizontal="center" vertical="center" wrapText="1"/>
    </xf>
    <xf numFmtId="14" fontId="54" fillId="0" borderId="23" xfId="0" applyNumberFormat="1" applyFont="1" applyBorder="1" applyAlignment="1">
      <alignment horizontal="center" vertical="center" wrapText="1"/>
    </xf>
    <xf numFmtId="0" fontId="83" fillId="0" borderId="23" xfId="174" applyFont="1" applyBorder="1" applyAlignment="1">
      <alignment horizontal="center" vertical="center"/>
    </xf>
    <xf numFmtId="9" fontId="83" fillId="0" borderId="23" xfId="174" applyNumberFormat="1" applyFont="1" applyBorder="1" applyAlignment="1">
      <alignment horizontal="center" vertical="center"/>
    </xf>
    <xf numFmtId="0" fontId="78" fillId="0" borderId="0" xfId="0" applyFont="1" applyAlignment="1">
      <alignment horizontal="center" vertical="center"/>
    </xf>
    <xf numFmtId="1" fontId="83" fillId="0" borderId="23" xfId="174" applyNumberFormat="1" applyFont="1" applyBorder="1" applyAlignment="1">
      <alignment horizontal="center" vertical="center"/>
    </xf>
    <xf numFmtId="1" fontId="83" fillId="8" borderId="23" xfId="174" applyNumberFormat="1" applyFont="1" applyFill="1" applyBorder="1" applyAlignment="1">
      <alignment horizontal="center" vertical="center"/>
    </xf>
    <xf numFmtId="1" fontId="83" fillId="0" borderId="23" xfId="177" applyNumberFormat="1" applyFont="1" applyBorder="1" applyAlignment="1">
      <alignment horizontal="center" vertical="center"/>
    </xf>
    <xf numFmtId="9" fontId="54" fillId="8" borderId="23" xfId="4" applyNumberFormat="1" applyFont="1" applyFill="1" applyBorder="1" applyAlignment="1">
      <alignment horizontal="center" vertical="center" wrapText="1"/>
    </xf>
    <xf numFmtId="9" fontId="54" fillId="2" borderId="23" xfId="178" applyNumberFormat="1" applyFont="1" applyFill="1" applyBorder="1" applyAlignment="1">
      <alignment horizontal="center" vertical="center"/>
    </xf>
    <xf numFmtId="9" fontId="83" fillId="0" borderId="23" xfId="179" applyFont="1" applyFill="1" applyBorder="1" applyAlignment="1">
      <alignment horizontal="center" vertical="center"/>
    </xf>
    <xf numFmtId="0" fontId="83" fillId="26" borderId="23" xfId="0" applyFont="1" applyFill="1" applyBorder="1" applyAlignment="1">
      <alignment horizontal="center" vertical="center"/>
    </xf>
    <xf numFmtId="1" fontId="83" fillId="8" borderId="23" xfId="166" applyNumberFormat="1" applyFont="1" applyFill="1" applyBorder="1" applyAlignment="1">
      <alignment horizontal="center" vertical="center"/>
    </xf>
    <xf numFmtId="1" fontId="83" fillId="0" borderId="23" xfId="168" applyNumberFormat="1" applyFont="1" applyBorder="1" applyAlignment="1">
      <alignment horizontal="center" vertical="center"/>
    </xf>
    <xf numFmtId="9" fontId="54" fillId="2" borderId="23" xfId="172" applyNumberFormat="1" applyFont="1" applyFill="1" applyBorder="1" applyAlignment="1">
      <alignment horizontal="center" vertical="center"/>
    </xf>
    <xf numFmtId="9" fontId="83" fillId="0" borderId="23" xfId="170" applyFont="1" applyFill="1" applyBorder="1" applyAlignment="1">
      <alignment horizontal="center" vertical="center"/>
    </xf>
    <xf numFmtId="9" fontId="54" fillId="0" borderId="23" xfId="166" applyNumberFormat="1" applyFont="1" applyBorder="1" applyAlignment="1" applyProtection="1">
      <alignment horizontal="center" vertical="center"/>
      <protection locked="0"/>
    </xf>
    <xf numFmtId="9" fontId="83" fillId="2" borderId="23" xfId="168" applyNumberFormat="1" applyFont="1" applyFill="1" applyBorder="1" applyAlignment="1">
      <alignment horizontal="center" vertical="center"/>
    </xf>
    <xf numFmtId="1" fontId="83" fillId="36" borderId="23" xfId="0" applyNumberFormat="1" applyFont="1" applyFill="1" applyBorder="1" applyAlignment="1">
      <alignment horizontal="center" vertical="center" wrapText="1"/>
    </xf>
    <xf numFmtId="0" fontId="83" fillId="35" borderId="23" xfId="0" applyFont="1" applyFill="1" applyBorder="1" applyAlignment="1">
      <alignment horizontal="center" vertical="center" wrapText="1"/>
    </xf>
    <xf numFmtId="0" fontId="83" fillId="26" borderId="23" xfId="0" applyFont="1" applyFill="1" applyBorder="1" applyAlignment="1">
      <alignment horizontal="center" vertical="center" wrapText="1"/>
    </xf>
    <xf numFmtId="9" fontId="54" fillId="36" borderId="23" xfId="0" applyNumberFormat="1" applyFont="1" applyFill="1" applyBorder="1" applyAlignment="1">
      <alignment horizontal="center" vertical="center" wrapText="1"/>
    </xf>
    <xf numFmtId="0" fontId="83" fillId="36" borderId="23" xfId="0" applyFont="1" applyFill="1" applyBorder="1" applyAlignment="1">
      <alignment horizontal="center" vertical="center" wrapText="1"/>
    </xf>
    <xf numFmtId="9" fontId="54" fillId="33" borderId="23" xfId="0" applyNumberFormat="1" applyFont="1" applyFill="1" applyBorder="1" applyAlignment="1">
      <alignment horizontal="center" vertical="center" wrapText="1"/>
    </xf>
    <xf numFmtId="0" fontId="78" fillId="0" borderId="0" xfId="0" applyFont="1" applyAlignment="1">
      <alignment vertical="center"/>
    </xf>
    <xf numFmtId="0" fontId="54" fillId="0" borderId="23" xfId="1" applyFont="1" applyFill="1" applyBorder="1" applyAlignment="1">
      <alignment horizontal="center" vertical="center" wrapText="1"/>
    </xf>
    <xf numFmtId="0" fontId="54" fillId="0" borderId="23" xfId="26" applyFont="1" applyBorder="1" applyAlignment="1">
      <alignment horizontal="center" vertical="center" wrapText="1"/>
    </xf>
    <xf numFmtId="1" fontId="83" fillId="0" borderId="23" xfId="174" applyNumberFormat="1" applyFont="1" applyBorder="1" applyAlignment="1">
      <alignment horizontal="center" vertical="center" wrapText="1"/>
    </xf>
    <xf numFmtId="1" fontId="83" fillId="8" borderId="23" xfId="174" applyNumberFormat="1" applyFont="1" applyFill="1" applyBorder="1" applyAlignment="1">
      <alignment horizontal="center" vertical="center" wrapText="1"/>
    </xf>
    <xf numFmtId="1" fontId="83" fillId="0" borderId="23" xfId="177" applyNumberFormat="1" applyFont="1" applyBorder="1" applyAlignment="1">
      <alignment horizontal="center" vertical="center" wrapText="1"/>
    </xf>
    <xf numFmtId="0" fontId="83" fillId="8" borderId="23" xfId="192" applyFont="1" applyFill="1" applyBorder="1" applyAlignment="1">
      <alignment horizontal="center" vertical="center" wrapText="1"/>
    </xf>
    <xf numFmtId="9" fontId="54" fillId="2" borderId="23" xfId="178" applyNumberFormat="1" applyFont="1" applyFill="1" applyBorder="1" applyAlignment="1">
      <alignment horizontal="center" vertical="center" wrapText="1"/>
    </xf>
    <xf numFmtId="9" fontId="83" fillId="0" borderId="23" xfId="179" applyFont="1" applyFill="1" applyBorder="1" applyAlignment="1">
      <alignment horizontal="center" vertical="center" wrapText="1"/>
    </xf>
    <xf numFmtId="9" fontId="54" fillId="0" borderId="23" xfId="174" applyNumberFormat="1" applyFont="1" applyBorder="1" applyAlignment="1" applyProtection="1">
      <alignment horizontal="center" vertical="center" wrapText="1"/>
      <protection locked="0"/>
    </xf>
    <xf numFmtId="9" fontId="83" fillId="2" borderId="23" xfId="177" applyNumberFormat="1" applyFont="1" applyFill="1" applyBorder="1" applyAlignment="1">
      <alignment horizontal="center" vertical="center" wrapText="1"/>
    </xf>
    <xf numFmtId="9" fontId="46" fillId="0" borderId="0" xfId="174" applyNumberFormat="1" applyFont="1" applyAlignment="1" applyProtection="1">
      <alignment horizontal="center" vertical="center" wrapText="1"/>
      <protection locked="0"/>
    </xf>
    <xf numFmtId="1" fontId="83" fillId="8" borderId="23" xfId="0" applyNumberFormat="1" applyFont="1" applyFill="1" applyBorder="1" applyAlignment="1">
      <alignment horizontal="center" vertical="center"/>
    </xf>
    <xf numFmtId="1" fontId="83" fillId="0" borderId="23" xfId="56" applyNumberFormat="1" applyFont="1" applyBorder="1" applyAlignment="1">
      <alignment horizontal="center" vertical="center"/>
    </xf>
    <xf numFmtId="9" fontId="54" fillId="2" borderId="23" xfId="188" applyNumberFormat="1" applyFont="1" applyFill="1" applyBorder="1" applyAlignment="1">
      <alignment horizontal="center" vertical="center"/>
    </xf>
    <xf numFmtId="0" fontId="58" fillId="26" borderId="68" xfId="0" applyFont="1" applyFill="1" applyBorder="1" applyAlignment="1">
      <alignment vertical="center" wrapText="1"/>
    </xf>
    <xf numFmtId="9" fontId="54" fillId="0" borderId="23" xfId="0" applyNumberFormat="1" applyFont="1" applyBorder="1" applyAlignment="1" applyProtection="1">
      <alignment horizontal="center" vertical="center"/>
      <protection locked="0"/>
    </xf>
    <xf numFmtId="9" fontId="83" fillId="2" borderId="23" xfId="56" applyNumberFormat="1" applyFont="1" applyFill="1" applyBorder="1" applyAlignment="1">
      <alignment horizontal="center" vertical="center"/>
    </xf>
    <xf numFmtId="9" fontId="54" fillId="0" borderId="23" xfId="187" applyFont="1" applyBorder="1" applyAlignment="1">
      <alignment vertical="center" wrapText="1"/>
    </xf>
    <xf numFmtId="0" fontId="58" fillId="0" borderId="5" xfId="0" applyFont="1" applyBorder="1" applyAlignment="1">
      <alignment vertical="center" wrapText="1"/>
    </xf>
    <xf numFmtId="0" fontId="58" fillId="0" borderId="69" xfId="0" applyFont="1" applyBorder="1" applyAlignment="1">
      <alignment vertical="center" wrapText="1"/>
    </xf>
    <xf numFmtId="9" fontId="54" fillId="26" borderId="23" xfId="0" applyNumberFormat="1" applyFont="1" applyFill="1" applyBorder="1" applyAlignment="1">
      <alignment horizontal="center" vertical="center" wrapText="1"/>
    </xf>
    <xf numFmtId="0" fontId="58" fillId="0" borderId="70" xfId="0" applyFont="1" applyBorder="1" applyAlignment="1">
      <alignment vertical="center" wrapText="1"/>
    </xf>
    <xf numFmtId="166" fontId="54" fillId="0" borderId="23" xfId="4" applyNumberFormat="1" applyFont="1" applyBorder="1" applyAlignment="1">
      <alignment horizontal="center" vertical="center" wrapText="1"/>
    </xf>
    <xf numFmtId="10" fontId="83" fillId="2" borderId="23" xfId="168" applyNumberFormat="1" applyFont="1" applyFill="1" applyBorder="1" applyAlignment="1">
      <alignment horizontal="center" vertical="center"/>
    </xf>
    <xf numFmtId="9" fontId="54" fillId="2" borderId="24" xfId="172" applyNumberFormat="1" applyFont="1" applyFill="1" applyBorder="1" applyAlignment="1">
      <alignment horizontal="center" vertical="center"/>
    </xf>
    <xf numFmtId="0" fontId="54" fillId="0" borderId="0" xfId="0" applyFont="1" applyAlignment="1">
      <alignment wrapText="1"/>
    </xf>
    <xf numFmtId="166" fontId="83" fillId="0" borderId="23" xfId="174" applyNumberFormat="1" applyFont="1" applyBorder="1" applyAlignment="1">
      <alignment horizontal="center" vertical="center" wrapText="1"/>
    </xf>
    <xf numFmtId="9" fontId="83" fillId="0" borderId="23" xfId="179" applyFont="1" applyBorder="1" applyAlignment="1">
      <alignment horizontal="center" vertical="center" wrapText="1"/>
    </xf>
    <xf numFmtId="9" fontId="54" fillId="2" borderId="31" xfId="188" applyNumberFormat="1" applyFont="1" applyFill="1" applyBorder="1" applyAlignment="1">
      <alignment horizontal="center" vertical="center" wrapText="1"/>
    </xf>
    <xf numFmtId="2" fontId="83" fillId="0" borderId="23" xfId="174" applyNumberFormat="1" applyFont="1" applyBorder="1" applyAlignment="1">
      <alignment horizontal="center" vertical="center" wrapText="1"/>
    </xf>
    <xf numFmtId="0" fontId="64" fillId="30" borderId="23" xfId="166" applyFont="1" applyFill="1" applyBorder="1" applyAlignment="1" applyProtection="1">
      <alignment horizontal="center" vertical="center" wrapText="1"/>
      <protection locked="0"/>
    </xf>
    <xf numFmtId="0" fontId="64" fillId="31" borderId="23" xfId="166" applyFont="1" applyFill="1" applyBorder="1" applyAlignment="1" applyProtection="1">
      <alignment horizontal="center" vertical="center" wrapText="1"/>
      <protection locked="0"/>
    </xf>
    <xf numFmtId="0" fontId="64" fillId="32" borderId="23" xfId="166" applyFont="1" applyFill="1" applyBorder="1" applyAlignment="1" applyProtection="1">
      <alignment horizontal="center" vertical="center" wrapText="1"/>
      <protection locked="0"/>
    </xf>
    <xf numFmtId="0" fontId="65" fillId="0" borderId="0" xfId="0" applyFont="1" applyAlignment="1">
      <alignment wrapText="1"/>
    </xf>
    <xf numFmtId="1" fontId="100" fillId="8" borderId="23" xfId="174" applyNumberFormat="1" applyFont="1" applyFill="1" applyBorder="1" applyAlignment="1">
      <alignment horizontal="center" vertical="center"/>
    </xf>
    <xf numFmtId="1" fontId="100" fillId="0" borderId="23" xfId="177" applyNumberFormat="1" applyFont="1" applyBorder="1" applyAlignment="1">
      <alignment horizontal="center" vertical="center"/>
    </xf>
    <xf numFmtId="9" fontId="102" fillId="2" borderId="23" xfId="178" applyNumberFormat="1" applyFont="1" applyFill="1" applyBorder="1" applyAlignment="1">
      <alignment horizontal="center" vertical="center"/>
    </xf>
    <xf numFmtId="9" fontId="100" fillId="0" borderId="23" xfId="179" applyFont="1" applyFill="1" applyBorder="1" applyAlignment="1">
      <alignment horizontal="center" vertical="center"/>
    </xf>
    <xf numFmtId="0" fontId="58" fillId="0" borderId="23" xfId="0" applyFont="1" applyBorder="1" applyAlignment="1">
      <alignment horizontal="center" vertical="center" wrapText="1"/>
    </xf>
    <xf numFmtId="0" fontId="58" fillId="0" borderId="23" xfId="0" applyFont="1" applyBorder="1"/>
    <xf numFmtId="10" fontId="54" fillId="0" borderId="23" xfId="0" applyNumberFormat="1" applyFont="1" applyBorder="1" applyAlignment="1">
      <alignment horizontal="center" vertical="center" wrapText="1"/>
    </xf>
    <xf numFmtId="10" fontId="83" fillId="2" borderId="23" xfId="177" applyNumberFormat="1" applyFont="1" applyFill="1" applyBorder="1" applyAlignment="1">
      <alignment horizontal="center" vertical="center" wrapText="1"/>
    </xf>
    <xf numFmtId="166" fontId="54" fillId="8" borderId="23" xfId="84" applyNumberFormat="1" applyFont="1" applyFill="1" applyBorder="1" applyAlignment="1">
      <alignment horizontal="center" vertical="center" wrapText="1"/>
    </xf>
    <xf numFmtId="9" fontId="83" fillId="0" borderId="23" xfId="187" applyFont="1" applyBorder="1" applyAlignment="1">
      <alignment horizontal="center" vertical="center"/>
    </xf>
    <xf numFmtId="9" fontId="54" fillId="0" borderId="23" xfId="187" applyFont="1" applyBorder="1" applyAlignment="1">
      <alignment horizontal="center" vertical="center" wrapText="1"/>
    </xf>
    <xf numFmtId="0" fontId="54" fillId="0" borderId="23" xfId="1" applyFont="1" applyFill="1" applyBorder="1" applyAlignment="1" applyProtection="1">
      <alignment horizontal="center" vertical="center" wrapText="1"/>
      <protection locked="0"/>
    </xf>
    <xf numFmtId="1" fontId="83" fillId="8" borderId="23" xfId="0" applyNumberFormat="1" applyFont="1" applyFill="1" applyBorder="1" applyAlignment="1">
      <alignment horizontal="center" vertical="center" wrapText="1"/>
    </xf>
    <xf numFmtId="1" fontId="83" fillId="0" borderId="23" xfId="56" applyNumberFormat="1" applyFont="1" applyBorder="1" applyAlignment="1">
      <alignment horizontal="center" vertical="center" wrapText="1"/>
    </xf>
    <xf numFmtId="9" fontId="54" fillId="2" borderId="23" xfId="188" applyNumberFormat="1" applyFont="1" applyFill="1" applyBorder="1" applyAlignment="1">
      <alignment horizontal="center" vertical="center" wrapText="1"/>
    </xf>
    <xf numFmtId="9" fontId="83" fillId="0" borderId="23" xfId="187" applyFont="1" applyFill="1" applyBorder="1" applyAlignment="1">
      <alignment horizontal="center" vertical="center" wrapText="1"/>
    </xf>
    <xf numFmtId="9" fontId="54" fillId="0" borderId="23" xfId="0" applyNumberFormat="1" applyFont="1" applyBorder="1" applyAlignment="1" applyProtection="1">
      <alignment horizontal="center" vertical="center" wrapText="1"/>
      <protection locked="0"/>
    </xf>
    <xf numFmtId="10" fontId="83" fillId="2" borderId="23" xfId="56" applyNumberFormat="1" applyFont="1" applyFill="1" applyBorder="1" applyAlignment="1">
      <alignment horizontal="center" vertical="center" wrapText="1"/>
    </xf>
    <xf numFmtId="9" fontId="83" fillId="2" borderId="23" xfId="56" applyNumberFormat="1" applyFont="1" applyFill="1" applyBorder="1" applyAlignment="1">
      <alignment horizontal="center" vertical="center" wrapText="1"/>
    </xf>
    <xf numFmtId="1" fontId="83" fillId="8" borderId="31" xfId="0" applyNumberFormat="1" applyFont="1" applyFill="1" applyBorder="1" applyAlignment="1">
      <alignment horizontal="center" vertical="center" wrapText="1"/>
    </xf>
    <xf numFmtId="1" fontId="83" fillId="0" borderId="31" xfId="56" applyNumberFormat="1" applyFont="1" applyBorder="1" applyAlignment="1">
      <alignment horizontal="center" vertical="center" wrapText="1"/>
    </xf>
    <xf numFmtId="9" fontId="83" fillId="0" borderId="31" xfId="187" applyFont="1" applyFill="1" applyBorder="1" applyAlignment="1">
      <alignment horizontal="center" vertical="center" wrapText="1"/>
    </xf>
    <xf numFmtId="9" fontId="54" fillId="0" borderId="31" xfId="0" applyNumberFormat="1" applyFont="1" applyBorder="1" applyAlignment="1" applyProtection="1">
      <alignment horizontal="center" vertical="center" wrapText="1"/>
      <protection locked="0"/>
    </xf>
    <xf numFmtId="10" fontId="83" fillId="2" borderId="31" xfId="56" applyNumberFormat="1" applyFont="1" applyFill="1" applyBorder="1" applyAlignment="1">
      <alignment horizontal="center" vertical="center" wrapText="1"/>
    </xf>
    <xf numFmtId="9" fontId="54" fillId="0" borderId="31" xfId="187" applyFont="1" applyBorder="1" applyAlignment="1">
      <alignment horizontal="center" vertical="center" wrapText="1"/>
    </xf>
    <xf numFmtId="9" fontId="83" fillId="0" borderId="31" xfId="187" applyFont="1" applyBorder="1" applyAlignment="1">
      <alignment horizontal="center" vertical="center" wrapText="1"/>
    </xf>
    <xf numFmtId="10" fontId="83" fillId="2" borderId="37" xfId="56" applyNumberFormat="1" applyFont="1" applyFill="1" applyBorder="1" applyAlignment="1">
      <alignment horizontal="center" vertical="center" wrapText="1"/>
    </xf>
    <xf numFmtId="9" fontId="54" fillId="0" borderId="0" xfId="187" applyFont="1" applyBorder="1" applyAlignment="1">
      <alignment horizontal="center" vertical="center" wrapText="1"/>
    </xf>
    <xf numFmtId="1" fontId="77" fillId="8" borderId="31" xfId="0" applyNumberFormat="1" applyFont="1" applyFill="1" applyBorder="1" applyAlignment="1">
      <alignment horizontal="center" vertical="center" wrapText="1"/>
    </xf>
    <xf numFmtId="1" fontId="77" fillId="0" borderId="31" xfId="56" applyNumberFormat="1" applyFont="1" applyBorder="1" applyAlignment="1">
      <alignment horizontal="center" vertical="center" wrapText="1"/>
    </xf>
    <xf numFmtId="9" fontId="75" fillId="2" borderId="31" xfId="188" applyNumberFormat="1" applyFont="1" applyFill="1" applyBorder="1" applyAlignment="1">
      <alignment horizontal="center" vertical="center" wrapText="1"/>
    </xf>
    <xf numFmtId="9" fontId="77" fillId="0" borderId="31" xfId="187" applyFont="1" applyBorder="1" applyAlignment="1">
      <alignment horizontal="center" vertical="center" wrapText="1"/>
    </xf>
    <xf numFmtId="9" fontId="75" fillId="0" borderId="31" xfId="0" applyNumberFormat="1" applyFont="1" applyBorder="1" applyAlignment="1" applyProtection="1">
      <alignment horizontal="center" vertical="center" wrapText="1"/>
      <protection locked="0"/>
    </xf>
    <xf numFmtId="10" fontId="77" fillId="2" borderId="37" xfId="56" applyNumberFormat="1" applyFont="1" applyFill="1" applyBorder="1" applyAlignment="1">
      <alignment horizontal="center" vertical="center" wrapText="1"/>
    </xf>
    <xf numFmtId="9" fontId="75" fillId="2" borderId="32" xfId="188" applyNumberFormat="1" applyFont="1" applyFill="1" applyBorder="1" applyAlignment="1">
      <alignment horizontal="center" vertical="center" wrapText="1"/>
    </xf>
    <xf numFmtId="0" fontId="54" fillId="8" borderId="23" xfId="184" applyFont="1" applyFill="1" applyBorder="1" applyAlignment="1">
      <alignment horizontal="center" vertical="center" wrapText="1"/>
    </xf>
    <xf numFmtId="1" fontId="83" fillId="8" borderId="23" xfId="189" applyNumberFormat="1" applyFont="1" applyFill="1" applyBorder="1" applyAlignment="1">
      <alignment horizontal="center" vertical="center" wrapText="1"/>
    </xf>
    <xf numFmtId="9" fontId="83" fillId="8" borderId="23" xfId="190" applyFont="1" applyFill="1" applyBorder="1" applyAlignment="1">
      <alignment horizontal="center" vertical="center" wrapText="1"/>
    </xf>
    <xf numFmtId="0" fontId="54" fillId="8" borderId="2" xfId="188" applyFont="1" applyFill="1" applyBorder="1" applyAlignment="1">
      <alignment horizontal="center" vertical="center"/>
    </xf>
    <xf numFmtId="0" fontId="54" fillId="8" borderId="1" xfId="188" applyFont="1" applyFill="1" applyBorder="1" applyAlignment="1">
      <alignment horizontal="center" vertical="center"/>
    </xf>
    <xf numFmtId="9" fontId="54" fillId="8" borderId="23" xfId="188" applyNumberFormat="1" applyFont="1" applyFill="1" applyBorder="1" applyAlignment="1">
      <alignment horizontal="center" vertical="center" wrapText="1"/>
    </xf>
    <xf numFmtId="14" fontId="54" fillId="8" borderId="1" xfId="188" applyNumberFormat="1" applyFont="1" applyFill="1" applyBorder="1" applyAlignment="1">
      <alignment horizontal="center" vertical="center"/>
    </xf>
    <xf numFmtId="167" fontId="54" fillId="8" borderId="23" xfId="4" applyNumberFormat="1" applyFont="1" applyFill="1" applyBorder="1" applyAlignment="1" applyProtection="1">
      <alignment horizontal="center" vertical="center" wrapText="1"/>
      <protection locked="0"/>
    </xf>
    <xf numFmtId="1" fontId="83" fillId="0" borderId="23" xfId="189" applyNumberFormat="1" applyFont="1" applyBorder="1" applyAlignment="1">
      <alignment horizontal="center" vertical="center"/>
    </xf>
    <xf numFmtId="9" fontId="83" fillId="0" borderId="23" xfId="190" applyFont="1" applyFill="1" applyBorder="1" applyAlignment="1">
      <alignment horizontal="center" vertical="center"/>
    </xf>
    <xf numFmtId="0" fontId="54" fillId="0" borderId="0" xfId="188" applyFont="1" applyAlignment="1">
      <alignment horizontal="center" vertical="center"/>
    </xf>
    <xf numFmtId="9" fontId="83" fillId="8" borderId="23" xfId="190" applyFont="1" applyFill="1" applyBorder="1" applyAlignment="1">
      <alignment horizontal="center" vertical="center"/>
    </xf>
    <xf numFmtId="0" fontId="54" fillId="8" borderId="23" xfId="158" applyFont="1" applyFill="1" applyBorder="1" applyAlignment="1">
      <alignment horizontal="center" vertical="center" wrapText="1"/>
    </xf>
    <xf numFmtId="0" fontId="54" fillId="8" borderId="0" xfId="0" applyFont="1" applyFill="1" applyAlignment="1">
      <alignment horizontal="center" vertical="center"/>
    </xf>
    <xf numFmtId="0" fontId="92" fillId="0" borderId="24" xfId="0" applyFont="1" applyBorder="1" applyAlignment="1">
      <alignment vertical="center" wrapText="1"/>
    </xf>
    <xf numFmtId="0" fontId="92" fillId="0" borderId="10" xfId="0" applyFont="1" applyBorder="1" applyAlignment="1">
      <alignment vertical="center" wrapText="1"/>
    </xf>
    <xf numFmtId="0" fontId="54" fillId="0" borderId="23" xfId="4" applyFont="1" applyBorder="1" applyAlignment="1" applyProtection="1">
      <alignment horizontal="center" vertical="center"/>
      <protection locked="0"/>
    </xf>
    <xf numFmtId="14" fontId="54" fillId="0" borderId="23" xfId="4" applyNumberFormat="1" applyFont="1" applyBorder="1" applyAlignment="1" applyProtection="1">
      <alignment horizontal="center" vertical="center" wrapText="1"/>
      <protection locked="0"/>
    </xf>
    <xf numFmtId="1" fontId="83" fillId="0" borderId="23" xfId="183" applyNumberFormat="1" applyFont="1" applyBorder="1" applyAlignment="1">
      <alignment horizontal="center" vertical="center" wrapText="1"/>
    </xf>
    <xf numFmtId="14" fontId="54" fillId="0" borderId="23" xfId="158" applyNumberFormat="1" applyFont="1" applyBorder="1" applyAlignment="1">
      <alignment horizontal="center" vertical="center" wrapText="1"/>
    </xf>
    <xf numFmtId="0" fontId="75" fillId="0" borderId="23" xfId="4" applyFont="1" applyBorder="1" applyAlignment="1" applyProtection="1">
      <alignment horizontal="center" vertical="center" wrapText="1"/>
      <protection locked="0"/>
    </xf>
    <xf numFmtId="0" fontId="83" fillId="0" borderId="23" xfId="4" applyFont="1" applyBorder="1" applyAlignment="1">
      <alignment horizontal="center" vertical="center"/>
    </xf>
    <xf numFmtId="14" fontId="54" fillId="0" borderId="23" xfId="4" applyNumberFormat="1" applyFont="1" applyBorder="1" applyAlignment="1" applyProtection="1">
      <alignment horizontal="center" vertical="center"/>
      <protection locked="0"/>
    </xf>
    <xf numFmtId="0" fontId="54" fillId="0" borderId="23" xfId="4" applyFont="1" applyBorder="1" applyAlignment="1">
      <alignment horizontal="center" vertical="center"/>
    </xf>
    <xf numFmtId="9" fontId="54" fillId="0" borderId="23" xfId="4" applyNumberFormat="1" applyFont="1" applyBorder="1" applyAlignment="1" applyProtection="1">
      <alignment horizontal="center" vertical="center"/>
      <protection locked="0"/>
    </xf>
    <xf numFmtId="0" fontId="83" fillId="0" borderId="23" xfId="4" applyFont="1" applyBorder="1" applyAlignment="1">
      <alignment horizontal="center" vertical="center" wrapText="1"/>
    </xf>
    <xf numFmtId="9" fontId="54" fillId="0" borderId="23" xfId="0" applyNumberFormat="1" applyFont="1" applyBorder="1" applyAlignment="1">
      <alignment horizontal="center" vertical="center"/>
    </xf>
    <xf numFmtId="14" fontId="83" fillId="0" borderId="23" xfId="0" applyNumberFormat="1" applyFont="1" applyBorder="1" applyAlignment="1">
      <alignment horizontal="center" vertical="center" wrapText="1"/>
    </xf>
    <xf numFmtId="1" fontId="54" fillId="0" borderId="23" xfId="0" applyNumberFormat="1" applyFont="1" applyBorder="1" applyAlignment="1">
      <alignment horizontal="center" vertical="center" wrapText="1"/>
    </xf>
    <xf numFmtId="0" fontId="54" fillId="0" borderId="23" xfId="0" applyFont="1" applyBorder="1" applyAlignment="1" applyProtection="1">
      <alignment horizontal="center" vertical="center" wrapText="1"/>
      <protection locked="0"/>
    </xf>
    <xf numFmtId="1" fontId="83" fillId="0" borderId="23" xfId="0" applyNumberFormat="1" applyFont="1" applyBorder="1" applyAlignment="1">
      <alignment horizontal="center" vertical="center" wrapText="1"/>
    </xf>
    <xf numFmtId="14" fontId="54" fillId="0" borderId="23" xfId="0" applyNumberFormat="1" applyFont="1" applyBorder="1" applyAlignment="1">
      <alignment horizontal="center" vertical="center"/>
    </xf>
    <xf numFmtId="0" fontId="54" fillId="8" borderId="23" xfId="0" applyFont="1" applyFill="1" applyBorder="1" applyAlignment="1">
      <alignment vertical="center" wrapText="1"/>
    </xf>
    <xf numFmtId="1" fontId="83" fillId="0" borderId="23" xfId="166" applyNumberFormat="1" applyFont="1" applyBorder="1" applyAlignment="1">
      <alignment horizontal="center" vertical="center"/>
    </xf>
    <xf numFmtId="49" fontId="54" fillId="0" borderId="23" xfId="174" applyNumberFormat="1" applyFont="1" applyBorder="1" applyAlignment="1" applyProtection="1">
      <alignment horizontal="center" vertical="center" wrapText="1"/>
      <protection locked="0"/>
    </xf>
    <xf numFmtId="0" fontId="54" fillId="0" borderId="23" xfId="174" applyFont="1" applyBorder="1" applyAlignment="1" applyProtection="1">
      <alignment horizontal="center" vertical="center" wrapText="1"/>
      <protection locked="0"/>
    </xf>
    <xf numFmtId="14" fontId="54" fillId="0" borderId="23" xfId="26" applyNumberFormat="1" applyFont="1" applyBorder="1" applyAlignment="1">
      <alignment horizontal="center" vertical="center" wrapText="1"/>
    </xf>
    <xf numFmtId="0" fontId="54" fillId="0" borderId="25" xfId="1" applyFont="1" applyFill="1" applyBorder="1" applyAlignment="1" applyProtection="1">
      <alignment horizontal="center" vertical="center" wrapText="1"/>
      <protection locked="0"/>
    </xf>
    <xf numFmtId="0" fontId="75" fillId="0" borderId="33" xfId="0" applyFont="1" applyBorder="1" applyAlignment="1">
      <alignment horizontal="center" vertical="center" wrapText="1"/>
    </xf>
    <xf numFmtId="0" fontId="54" fillId="0" borderId="24" xfId="0" applyFont="1" applyBorder="1" applyAlignment="1">
      <alignment horizontal="center" vertical="center" wrapText="1"/>
    </xf>
    <xf numFmtId="1" fontId="83" fillId="0" borderId="23" xfId="0" applyNumberFormat="1" applyFont="1" applyBorder="1" applyAlignment="1">
      <alignment horizontal="center" vertical="center"/>
    </xf>
    <xf numFmtId="165" fontId="54" fillId="0" borderId="23" xfId="84" applyNumberFormat="1" applyFont="1" applyBorder="1" applyAlignment="1">
      <alignment horizontal="center" vertical="center" wrapText="1"/>
    </xf>
    <xf numFmtId="0" fontId="75" fillId="0" borderId="61" xfId="0" applyFont="1" applyBorder="1" applyAlignment="1">
      <alignment horizontal="center" vertical="center" wrapText="1"/>
    </xf>
    <xf numFmtId="14" fontId="54" fillId="0" borderId="23" xfId="4" applyNumberFormat="1" applyFont="1" applyBorder="1" applyAlignment="1">
      <alignment horizontal="center" vertical="center" wrapText="1"/>
    </xf>
    <xf numFmtId="9" fontId="54" fillId="0" borderId="23" xfId="4" applyNumberFormat="1" applyFont="1" applyBorder="1" applyAlignment="1">
      <alignment horizontal="center" vertical="center" wrapText="1"/>
    </xf>
    <xf numFmtId="0" fontId="54" fillId="0" borderId="23" xfId="166" applyFont="1" applyBorder="1" applyAlignment="1" applyProtection="1">
      <alignment horizontal="center" vertical="center"/>
      <protection locked="0"/>
    </xf>
    <xf numFmtId="14" fontId="54" fillId="0" borderId="23" xfId="167" applyNumberFormat="1" applyFont="1" applyBorder="1" applyAlignment="1">
      <alignment horizontal="center" vertical="center" wrapText="1"/>
    </xf>
    <xf numFmtId="0" fontId="54" fillId="0" borderId="25" xfId="4" applyFont="1" applyBorder="1" applyAlignment="1">
      <alignment horizontal="center" vertical="center" wrapText="1"/>
    </xf>
    <xf numFmtId="1" fontId="44" fillId="0" borderId="23" xfId="174" applyNumberFormat="1" applyFont="1" applyBorder="1" applyAlignment="1">
      <alignment horizontal="center" vertical="center" wrapText="1"/>
    </xf>
    <xf numFmtId="0" fontId="49" fillId="0" borderId="23" xfId="4" applyFont="1" applyBorder="1" applyAlignment="1">
      <alignment horizontal="center" vertical="center" wrapText="1"/>
    </xf>
    <xf numFmtId="1" fontId="49" fillId="0" borderId="23" xfId="173" applyNumberFormat="1" applyFont="1" applyBorder="1" applyAlignment="1">
      <alignment horizontal="center" vertical="center" wrapText="1"/>
    </xf>
    <xf numFmtId="0" fontId="49" fillId="0" borderId="23" xfId="166" applyFont="1" applyBorder="1" applyAlignment="1" applyProtection="1">
      <alignment horizontal="center" vertical="center" wrapText="1"/>
      <protection locked="0"/>
    </xf>
    <xf numFmtId="165" fontId="49" fillId="0" borderId="23" xfId="4" applyNumberFormat="1" applyFont="1" applyBorder="1" applyAlignment="1">
      <alignment horizontal="center" vertical="center" wrapText="1"/>
    </xf>
    <xf numFmtId="165" fontId="65" fillId="0" borderId="23" xfId="4" applyNumberFormat="1" applyFont="1" applyBorder="1" applyAlignment="1">
      <alignment horizontal="center" vertical="center" wrapText="1"/>
    </xf>
    <xf numFmtId="0" fontId="49" fillId="0" borderId="23" xfId="4" applyFont="1" applyBorder="1" applyAlignment="1" applyProtection="1">
      <alignment horizontal="center" vertical="center" wrapText="1"/>
      <protection locked="0"/>
    </xf>
    <xf numFmtId="165" fontId="49" fillId="0" borderId="23" xfId="4" applyNumberFormat="1" applyFont="1" applyBorder="1" applyAlignment="1">
      <alignment horizontal="center" vertical="center"/>
    </xf>
    <xf numFmtId="49" fontId="49" fillId="0" borderId="23" xfId="166" applyNumberFormat="1" applyFont="1" applyBorder="1" applyAlignment="1" applyProtection="1">
      <alignment horizontal="center" vertical="center" wrapText="1"/>
      <protection locked="0"/>
    </xf>
    <xf numFmtId="0" fontId="49" fillId="0" borderId="23" xfId="173" applyFont="1" applyBorder="1" applyAlignment="1">
      <alignment horizontal="center" vertical="center" wrapText="1"/>
    </xf>
    <xf numFmtId="49" fontId="75" fillId="0" borderId="23" xfId="166" applyNumberFormat="1" applyFont="1" applyBorder="1" applyAlignment="1" applyProtection="1">
      <alignment horizontal="center" vertical="center" wrapText="1"/>
      <protection locked="0"/>
    </xf>
    <xf numFmtId="0" fontId="49" fillId="0" borderId="23" xfId="166" applyFont="1" applyBorder="1" applyAlignment="1">
      <alignment horizontal="center" vertical="center" wrapText="1"/>
    </xf>
    <xf numFmtId="0" fontId="54" fillId="0" borderId="23" xfId="185" applyFont="1" applyBorder="1" applyAlignment="1">
      <alignment horizontal="center" vertical="center" wrapText="1"/>
    </xf>
    <xf numFmtId="165" fontId="54" fillId="0" borderId="23" xfId="185" applyNumberFormat="1" applyFont="1" applyBorder="1" applyAlignment="1">
      <alignment horizontal="center" vertical="center" wrapText="1"/>
    </xf>
    <xf numFmtId="9" fontId="54" fillId="0" borderId="23" xfId="1" applyNumberFormat="1" applyFont="1" applyFill="1" applyBorder="1" applyAlignment="1">
      <alignment horizontal="center" vertical="center" wrapText="1"/>
    </xf>
    <xf numFmtId="1" fontId="54" fillId="0" borderId="23" xfId="185" applyNumberFormat="1" applyFont="1" applyBorder="1" applyAlignment="1">
      <alignment horizontal="center" vertical="center" wrapText="1"/>
    </xf>
    <xf numFmtId="9" fontId="54" fillId="0" borderId="23" xfId="185" applyNumberFormat="1" applyFont="1" applyBorder="1" applyAlignment="1">
      <alignment horizontal="center" vertical="center" wrapText="1"/>
    </xf>
    <xf numFmtId="0" fontId="54" fillId="0" borderId="23" xfId="84" applyFont="1" applyBorder="1" applyAlignment="1">
      <alignment horizontal="center" vertical="center" wrapText="1"/>
    </xf>
    <xf numFmtId="1" fontId="54" fillId="0" borderId="23" xfId="84" applyNumberFormat="1" applyFont="1" applyBorder="1" applyAlignment="1">
      <alignment horizontal="center" vertical="center" wrapText="1"/>
    </xf>
    <xf numFmtId="9" fontId="54" fillId="0" borderId="23" xfId="84" applyNumberFormat="1" applyFont="1" applyBorder="1" applyAlignment="1">
      <alignment horizontal="center" vertical="center" wrapText="1"/>
    </xf>
    <xf numFmtId="14" fontId="54" fillId="0" borderId="23" xfId="1" applyNumberFormat="1" applyFont="1" applyFill="1" applyBorder="1" applyAlignment="1" applyProtection="1">
      <alignment horizontal="center" vertical="center" wrapText="1"/>
      <protection locked="0"/>
    </xf>
    <xf numFmtId="9" fontId="54" fillId="0" borderId="23" xfId="1" applyNumberFormat="1" applyFont="1" applyFill="1" applyBorder="1" applyAlignment="1" applyProtection="1">
      <alignment horizontal="center" vertical="center" wrapText="1"/>
      <protection locked="0"/>
    </xf>
    <xf numFmtId="0" fontId="80" fillId="0" borderId="31" xfId="0" applyFont="1" applyBorder="1" applyAlignment="1">
      <alignment horizontal="center" vertical="center" wrapText="1" readingOrder="1"/>
    </xf>
    <xf numFmtId="9" fontId="80" fillId="0" borderId="31" xfId="0" applyNumberFormat="1" applyFont="1" applyBorder="1" applyAlignment="1">
      <alignment horizontal="center" vertical="center" wrapText="1" readingOrder="1"/>
    </xf>
    <xf numFmtId="14" fontId="80" fillId="0" borderId="31" xfId="0" applyNumberFormat="1" applyFont="1" applyBorder="1" applyAlignment="1">
      <alignment horizontal="center" vertical="center" wrapText="1" readingOrder="1"/>
    </xf>
    <xf numFmtId="165" fontId="54" fillId="0" borderId="31" xfId="84" applyNumberFormat="1" applyFont="1" applyBorder="1" applyAlignment="1">
      <alignment horizontal="center" vertical="center" wrapText="1"/>
    </xf>
    <xf numFmtId="0" fontId="80" fillId="0" borderId="31" xfId="0" applyFont="1" applyBorder="1" applyAlignment="1">
      <alignment horizontal="center" vertical="center" readingOrder="1"/>
    </xf>
    <xf numFmtId="0" fontId="81" fillId="0" borderId="31" xfId="0" applyFont="1" applyBorder="1" applyAlignment="1">
      <alignment horizontal="center" vertical="center" wrapText="1" readingOrder="1"/>
    </xf>
    <xf numFmtId="0" fontId="84" fillId="0" borderId="31" xfId="0" applyFont="1" applyBorder="1" applyAlignment="1">
      <alignment horizontal="center" vertical="center" wrapText="1" readingOrder="1"/>
    </xf>
    <xf numFmtId="0" fontId="86" fillId="0" borderId="1" xfId="0" applyFont="1" applyBorder="1" applyAlignment="1">
      <alignment horizontal="center" vertical="center" wrapText="1"/>
    </xf>
    <xf numFmtId="9" fontId="86" fillId="0" borderId="1" xfId="0" applyNumberFormat="1" applyFont="1" applyBorder="1" applyAlignment="1">
      <alignment horizontal="center" vertical="center" wrapText="1"/>
    </xf>
    <xf numFmtId="0" fontId="86" fillId="0" borderId="2" xfId="0" applyFont="1" applyBorder="1" applyAlignment="1">
      <alignment horizontal="center" vertical="center" wrapText="1"/>
    </xf>
    <xf numFmtId="14" fontId="86" fillId="0" borderId="2" xfId="0" applyNumberFormat="1" applyFont="1" applyBorder="1" applyAlignment="1">
      <alignment horizontal="center" vertical="center" wrapText="1"/>
    </xf>
    <xf numFmtId="165" fontId="65" fillId="0" borderId="31" xfId="84" applyNumberFormat="1" applyFont="1" applyBorder="1" applyAlignment="1">
      <alignment horizontal="center" vertical="center" wrapText="1"/>
    </xf>
    <xf numFmtId="0" fontId="86" fillId="0" borderId="5" xfId="0" applyFont="1" applyBorder="1" applyAlignment="1">
      <alignment horizontal="center" vertical="center" wrapText="1"/>
    </xf>
    <xf numFmtId="9" fontId="86" fillId="0" borderId="5" xfId="0" applyNumberFormat="1" applyFont="1" applyBorder="1" applyAlignment="1">
      <alignment horizontal="center" vertical="center" wrapText="1"/>
    </xf>
    <xf numFmtId="0" fontId="86" fillId="0" borderId="7" xfId="0" applyFont="1" applyBorder="1" applyAlignment="1">
      <alignment horizontal="center" vertical="center" wrapText="1"/>
    </xf>
    <xf numFmtId="14" fontId="86" fillId="0" borderId="7" xfId="0" applyNumberFormat="1" applyFont="1" applyBorder="1" applyAlignment="1">
      <alignment horizontal="center" vertical="center" wrapText="1"/>
    </xf>
    <xf numFmtId="0" fontId="76" fillId="0" borderId="5" xfId="0" applyFont="1" applyBorder="1" applyAlignment="1">
      <alignment horizontal="center" vertical="center" wrapText="1"/>
    </xf>
    <xf numFmtId="9" fontId="76" fillId="0" borderId="5" xfId="0" applyNumberFormat="1" applyFont="1" applyBorder="1" applyAlignment="1">
      <alignment horizontal="center" vertical="center" wrapText="1"/>
    </xf>
    <xf numFmtId="0" fontId="76" fillId="0" borderId="7" xfId="0" applyFont="1" applyBorder="1" applyAlignment="1">
      <alignment horizontal="center" vertical="center" wrapText="1"/>
    </xf>
    <xf numFmtId="14" fontId="76" fillId="0" borderId="7" xfId="0" applyNumberFormat="1" applyFont="1" applyBorder="1" applyAlignment="1">
      <alignment horizontal="center" vertical="center" wrapText="1"/>
    </xf>
    <xf numFmtId="0" fontId="54" fillId="0" borderId="34" xfId="1" applyFont="1" applyFill="1" applyBorder="1" applyAlignment="1" applyProtection="1">
      <alignment horizontal="center" vertical="center" wrapText="1"/>
      <protection locked="0"/>
    </xf>
    <xf numFmtId="0" fontId="76" fillId="0" borderId="1" xfId="0" applyFont="1" applyBorder="1" applyAlignment="1">
      <alignment horizontal="center" vertical="center" wrapText="1"/>
    </xf>
    <xf numFmtId="0" fontId="76" fillId="0" borderId="2" xfId="0" applyFont="1" applyBorder="1" applyAlignment="1">
      <alignment horizontal="center" vertical="center" wrapText="1"/>
    </xf>
    <xf numFmtId="14" fontId="76" fillId="0" borderId="2" xfId="0" applyNumberFormat="1" applyFont="1" applyBorder="1" applyAlignment="1">
      <alignment horizontal="center" vertical="center" wrapText="1"/>
    </xf>
    <xf numFmtId="0" fontId="76" fillId="0" borderId="7" xfId="0" applyFont="1" applyBorder="1" applyAlignment="1">
      <alignment horizontal="center" vertical="center"/>
    </xf>
    <xf numFmtId="9" fontId="76" fillId="0" borderId="7" xfId="0" applyNumberFormat="1" applyFont="1" applyBorder="1" applyAlignment="1">
      <alignment horizontal="center" vertical="center"/>
    </xf>
    <xf numFmtId="0" fontId="54" fillId="0" borderId="31" xfId="1" applyFont="1" applyFill="1" applyBorder="1" applyAlignment="1" applyProtection="1">
      <alignment horizontal="center" vertical="center" wrapText="1"/>
      <protection locked="0"/>
    </xf>
    <xf numFmtId="0" fontId="76" fillId="0" borderId="21" xfId="0" applyFont="1" applyBorder="1" applyAlignment="1">
      <alignment horizontal="center" vertical="center" wrapText="1"/>
    </xf>
    <xf numFmtId="0" fontId="76" fillId="0" borderId="44" xfId="0" applyFont="1" applyBorder="1" applyAlignment="1">
      <alignment horizontal="center" vertical="center" wrapText="1"/>
    </xf>
    <xf numFmtId="9" fontId="76" fillId="0" borderId="2" xfId="0" applyNumberFormat="1" applyFont="1" applyBorder="1" applyAlignment="1">
      <alignment horizontal="center" vertical="center" wrapText="1"/>
    </xf>
    <xf numFmtId="9" fontId="76" fillId="0" borderId="7" xfId="0" applyNumberFormat="1" applyFont="1" applyBorder="1" applyAlignment="1">
      <alignment horizontal="center" vertical="center" wrapText="1"/>
    </xf>
    <xf numFmtId="0" fontId="76" fillId="0" borderId="4" xfId="0" applyFont="1" applyBorder="1" applyAlignment="1">
      <alignment horizontal="center" vertical="center" wrapText="1"/>
    </xf>
    <xf numFmtId="0" fontId="76" fillId="0" borderId="45" xfId="0" applyFont="1" applyBorder="1" applyAlignment="1">
      <alignment horizontal="center" vertical="center" wrapText="1"/>
    </xf>
    <xf numFmtId="0" fontId="76" fillId="0" borderId="30" xfId="0" applyFont="1" applyBorder="1" applyAlignment="1">
      <alignment horizontal="center" vertical="center" wrapText="1"/>
    </xf>
    <xf numFmtId="9" fontId="76" fillId="0" borderId="44" xfId="0" applyNumberFormat="1" applyFont="1" applyBorder="1" applyAlignment="1">
      <alignment horizontal="center" vertical="center" wrapText="1"/>
    </xf>
    <xf numFmtId="0" fontId="76" fillId="0" borderId="6" xfId="0" applyFont="1" applyBorder="1" applyAlignment="1">
      <alignment horizontal="center" vertical="center" wrapText="1"/>
    </xf>
    <xf numFmtId="0" fontId="76" fillId="0" borderId="0" xfId="0" applyFont="1" applyAlignment="1">
      <alignment horizontal="center" vertical="center" wrapText="1"/>
    </xf>
    <xf numFmtId="0" fontId="76" fillId="0" borderId="31" xfId="0" applyFont="1" applyBorder="1" applyAlignment="1">
      <alignment horizontal="center" vertical="center" wrapText="1"/>
    </xf>
    <xf numFmtId="0" fontId="54" fillId="0" borderId="37" xfId="1" applyFont="1" applyFill="1" applyBorder="1" applyAlignment="1" applyProtection="1">
      <alignment horizontal="center" vertical="center" wrapText="1"/>
      <protection locked="0"/>
    </xf>
    <xf numFmtId="0" fontId="76" fillId="0" borderId="37" xfId="0" applyFont="1" applyBorder="1" applyAlignment="1">
      <alignment horizontal="center" vertical="center" wrapText="1"/>
    </xf>
    <xf numFmtId="0" fontId="75" fillId="0" borderId="31" xfId="0" applyFont="1" applyBorder="1" applyAlignment="1">
      <alignment horizontal="center" vertical="center" wrapText="1" readingOrder="1"/>
    </xf>
    <xf numFmtId="9" fontId="75" fillId="0" borderId="31" xfId="0" applyNumberFormat="1" applyFont="1" applyBorder="1" applyAlignment="1">
      <alignment horizontal="center" vertical="center" wrapText="1" readingOrder="1"/>
    </xf>
    <xf numFmtId="0" fontId="75" fillId="0" borderId="31" xfId="1" applyFont="1" applyFill="1" applyBorder="1" applyAlignment="1" applyProtection="1">
      <alignment horizontal="center" vertical="center" wrapText="1"/>
      <protection locked="0"/>
    </xf>
    <xf numFmtId="0" fontId="99" fillId="0" borderId="31" xfId="0" applyFont="1" applyBorder="1" applyAlignment="1">
      <alignment horizontal="center" vertical="center" wrapText="1" readingOrder="1"/>
    </xf>
    <xf numFmtId="0" fontId="99" fillId="0" borderId="32" xfId="0" applyFont="1" applyBorder="1" applyAlignment="1">
      <alignment horizontal="center" vertical="center" wrapText="1" readingOrder="1"/>
    </xf>
    <xf numFmtId="0" fontId="75" fillId="0" borderId="32" xfId="0" applyFont="1" applyBorder="1" applyAlignment="1">
      <alignment horizontal="center" vertical="center" wrapText="1" readingOrder="1"/>
    </xf>
    <xf numFmtId="0" fontId="58" fillId="41" borderId="23" xfId="0" applyFont="1" applyFill="1" applyBorder="1" applyAlignment="1">
      <alignment horizontal="center" vertical="center" wrapText="1"/>
    </xf>
    <xf numFmtId="0" fontId="76" fillId="0" borderId="36" xfId="0" applyFont="1" applyBorder="1" applyAlignment="1">
      <alignment vertical="center" wrapText="1"/>
    </xf>
    <xf numFmtId="0" fontId="76" fillId="0" borderId="31" xfId="0" applyFont="1" applyBorder="1" applyAlignment="1">
      <alignment vertical="center" wrapText="1"/>
    </xf>
    <xf numFmtId="0" fontId="76" fillId="0" borderId="32" xfId="0" applyFont="1" applyBorder="1" applyAlignment="1">
      <alignment vertical="center" wrapText="1"/>
    </xf>
    <xf numFmtId="0" fontId="76" fillId="0" borderId="40" xfId="0" applyFont="1" applyBorder="1" applyAlignment="1">
      <alignment vertical="center" wrapText="1"/>
    </xf>
    <xf numFmtId="9" fontId="76" fillId="0" borderId="32" xfId="0" applyNumberFormat="1" applyFont="1" applyBorder="1" applyAlignment="1">
      <alignment horizontal="center" vertical="center" wrapText="1"/>
    </xf>
    <xf numFmtId="0" fontId="76" fillId="0" borderId="40" xfId="0" applyFont="1" applyBorder="1" applyAlignment="1">
      <alignment horizontal="center" vertical="center" wrapText="1"/>
    </xf>
    <xf numFmtId="9" fontId="76" fillId="0" borderId="40" xfId="0" applyNumberFormat="1" applyFont="1" applyBorder="1" applyAlignment="1">
      <alignment horizontal="center" vertical="center" wrapText="1"/>
    </xf>
    <xf numFmtId="0" fontId="76" fillId="0" borderId="32" xfId="0" applyFont="1" applyBorder="1" applyAlignment="1">
      <alignment horizontal="center" vertical="center" wrapText="1"/>
    </xf>
    <xf numFmtId="14" fontId="86" fillId="0" borderId="40" xfId="0" applyNumberFormat="1" applyFont="1" applyBorder="1" applyAlignment="1">
      <alignment horizontal="center" vertical="center"/>
    </xf>
    <xf numFmtId="0" fontId="76" fillId="0" borderId="32" xfId="0" applyFont="1" applyBorder="1" applyAlignment="1">
      <alignment horizontal="left" vertical="center" wrapText="1"/>
    </xf>
    <xf numFmtId="0" fontId="76" fillId="0" borderId="40" xfId="0" applyFont="1" applyBorder="1" applyAlignment="1">
      <alignment horizontal="left" vertical="center" wrapText="1"/>
    </xf>
    <xf numFmtId="14" fontId="86" fillId="0" borderId="32" xfId="0" applyNumberFormat="1" applyFont="1" applyBorder="1" applyAlignment="1">
      <alignment horizontal="center" vertical="center" wrapText="1"/>
    </xf>
    <xf numFmtId="0" fontId="86" fillId="0" borderId="40" xfId="0" applyFont="1" applyBorder="1" applyAlignment="1">
      <alignment vertical="center" wrapText="1"/>
    </xf>
    <xf numFmtId="0" fontId="86" fillId="0" borderId="39" xfId="0" applyFont="1" applyBorder="1" applyAlignment="1">
      <alignment vertical="center" wrapText="1"/>
    </xf>
    <xf numFmtId="0" fontId="76" fillId="0" borderId="58" xfId="0" applyFont="1" applyBorder="1" applyAlignment="1">
      <alignment vertical="center" wrapText="1"/>
    </xf>
    <xf numFmtId="0" fontId="76" fillId="0" borderId="1" xfId="0" applyFont="1" applyBorder="1" applyAlignment="1">
      <alignment vertical="center" wrapText="1"/>
    </xf>
    <xf numFmtId="0" fontId="76" fillId="0" borderId="5" xfId="0" applyFont="1" applyBorder="1" applyAlignment="1">
      <alignment vertical="center" wrapText="1"/>
    </xf>
    <xf numFmtId="0" fontId="86" fillId="0" borderId="58" xfId="0" applyFont="1" applyBorder="1" applyAlignment="1">
      <alignment vertical="center" wrapText="1"/>
    </xf>
    <xf numFmtId="0" fontId="86" fillId="0" borderId="5" xfId="0" applyFont="1" applyBorder="1" applyAlignment="1">
      <alignment vertical="center" wrapText="1"/>
    </xf>
    <xf numFmtId="9" fontId="86" fillId="0" borderId="40" xfId="0" applyNumberFormat="1" applyFont="1" applyBorder="1" applyAlignment="1">
      <alignment horizontal="center" vertical="center" wrapText="1"/>
    </xf>
    <xf numFmtId="14" fontId="86" fillId="0" borderId="40" xfId="0" applyNumberFormat="1" applyFont="1" applyBorder="1" applyAlignment="1">
      <alignment horizontal="center" vertical="center" wrapText="1"/>
    </xf>
    <xf numFmtId="0" fontId="86" fillId="0" borderId="40" xfId="0" applyFont="1" applyBorder="1" applyAlignment="1">
      <alignment horizontal="center" vertical="center" wrapText="1"/>
    </xf>
    <xf numFmtId="0" fontId="0" fillId="26" borderId="23" xfId="0" applyFill="1" applyBorder="1" applyAlignment="1">
      <alignment vertical="center" wrapText="1"/>
    </xf>
    <xf numFmtId="0" fontId="0" fillId="26" borderId="13" xfId="0" applyFill="1" applyBorder="1" applyAlignment="1">
      <alignment vertical="center" wrapText="1"/>
    </xf>
    <xf numFmtId="0" fontId="0" fillId="0" borderId="13" xfId="0" applyBorder="1" applyAlignment="1">
      <alignment vertical="center" wrapText="1"/>
    </xf>
    <xf numFmtId="14" fontId="58" fillId="0" borderId="57" xfId="0" applyNumberFormat="1" applyFont="1" applyBorder="1" applyAlignment="1">
      <alignment horizontal="center" vertical="center" wrapText="1"/>
    </xf>
    <xf numFmtId="9" fontId="46" fillId="25" borderId="31" xfId="0" applyNumberFormat="1" applyFont="1" applyFill="1" applyBorder="1" applyAlignment="1">
      <alignment horizontal="center" vertical="center"/>
    </xf>
    <xf numFmtId="0" fontId="44" fillId="39" borderId="82" xfId="0" applyFont="1" applyFill="1" applyBorder="1" applyAlignment="1">
      <alignment horizontal="center"/>
    </xf>
    <xf numFmtId="0" fontId="46" fillId="25" borderId="84" xfId="0" applyFont="1" applyFill="1" applyBorder="1" applyAlignment="1">
      <alignment horizontal="center"/>
    </xf>
    <xf numFmtId="0" fontId="46" fillId="8" borderId="84" xfId="0" applyFont="1" applyFill="1" applyBorder="1" applyAlignment="1">
      <alignment horizontal="center"/>
    </xf>
    <xf numFmtId="0" fontId="46" fillId="25" borderId="84" xfId="0" applyFont="1" applyFill="1" applyBorder="1" applyAlignment="1">
      <alignment horizontal="center" vertical="center"/>
    </xf>
    <xf numFmtId="0" fontId="46" fillId="8" borderId="84" xfId="0" applyFont="1" applyFill="1" applyBorder="1" applyAlignment="1">
      <alignment horizontal="center" vertical="center"/>
    </xf>
    <xf numFmtId="0" fontId="46" fillId="25" borderId="57" xfId="0" applyFont="1" applyFill="1" applyBorder="1" applyAlignment="1">
      <alignment horizontal="center" vertical="center"/>
    </xf>
    <xf numFmtId="0" fontId="46" fillId="8" borderId="57" xfId="0" applyFont="1" applyFill="1" applyBorder="1" applyAlignment="1">
      <alignment horizontal="center" vertical="center"/>
    </xf>
    <xf numFmtId="9" fontId="46" fillId="25" borderId="84" xfId="0" applyNumberFormat="1" applyFont="1" applyFill="1" applyBorder="1" applyAlignment="1">
      <alignment horizontal="center" vertical="center"/>
    </xf>
    <xf numFmtId="9" fontId="46" fillId="8" borderId="84" xfId="0" applyNumberFormat="1" applyFont="1" applyFill="1" applyBorder="1" applyAlignment="1">
      <alignment horizontal="center" vertical="center"/>
    </xf>
    <xf numFmtId="9" fontId="46" fillId="25" borderId="89" xfId="0" applyNumberFormat="1" applyFont="1" applyFill="1" applyBorder="1" applyAlignment="1">
      <alignment horizontal="center" vertical="center"/>
    </xf>
    <xf numFmtId="9" fontId="46" fillId="8" borderId="89" xfId="0" applyNumberFormat="1" applyFont="1" applyFill="1" applyBorder="1" applyAlignment="1">
      <alignment horizontal="center" vertical="center"/>
    </xf>
    <xf numFmtId="9" fontId="46" fillId="40" borderId="57" xfId="0" applyNumberFormat="1" applyFont="1" applyFill="1" applyBorder="1" applyAlignment="1">
      <alignment horizontal="center" vertical="center"/>
    </xf>
    <xf numFmtId="9" fontId="46" fillId="38" borderId="57" xfId="0" applyNumberFormat="1" applyFont="1" applyFill="1" applyBorder="1" applyAlignment="1">
      <alignment horizontal="center" vertical="center"/>
    </xf>
    <xf numFmtId="9" fontId="46" fillId="25" borderId="57" xfId="0" applyNumberFormat="1" applyFont="1" applyFill="1" applyBorder="1" applyAlignment="1">
      <alignment horizontal="center" vertical="center"/>
    </xf>
    <xf numFmtId="9" fontId="46" fillId="8" borderId="57" xfId="0" applyNumberFormat="1" applyFont="1" applyFill="1" applyBorder="1" applyAlignment="1">
      <alignment horizontal="center" vertical="center"/>
    </xf>
    <xf numFmtId="0" fontId="44" fillId="39" borderId="59" xfId="0" applyFont="1" applyFill="1" applyBorder="1" applyAlignment="1">
      <alignment horizontal="center"/>
    </xf>
    <xf numFmtId="0" fontId="44" fillId="39" borderId="61" xfId="0" applyFont="1" applyFill="1" applyBorder="1" applyAlignment="1">
      <alignment horizontal="center"/>
    </xf>
    <xf numFmtId="0" fontId="44" fillId="39" borderId="60" xfId="0" applyFont="1" applyFill="1" applyBorder="1" applyAlignment="1">
      <alignment horizontal="center"/>
    </xf>
    <xf numFmtId="0" fontId="44" fillId="39" borderId="61" xfId="0" applyFont="1" applyFill="1" applyBorder="1" applyAlignment="1">
      <alignment horizontal="center" vertical="center"/>
    </xf>
    <xf numFmtId="0" fontId="44" fillId="39" borderId="60" xfId="0" applyFont="1" applyFill="1" applyBorder="1" applyAlignment="1">
      <alignment horizontal="center" vertical="center"/>
    </xf>
    <xf numFmtId="1" fontId="44" fillId="39" borderId="61" xfId="0" applyNumberFormat="1" applyFont="1" applyFill="1" applyBorder="1" applyAlignment="1">
      <alignment horizontal="center" vertical="center"/>
    </xf>
    <xf numFmtId="0" fontId="46" fillId="39" borderId="60" xfId="0" applyFont="1" applyFill="1" applyBorder="1" applyAlignment="1">
      <alignment horizontal="center" vertical="center"/>
    </xf>
    <xf numFmtId="9" fontId="46" fillId="39" borderId="61" xfId="0" applyNumberFormat="1" applyFont="1" applyFill="1" applyBorder="1" applyAlignment="1">
      <alignment horizontal="center" vertical="center"/>
    </xf>
    <xf numFmtId="9" fontId="46" fillId="39" borderId="60" xfId="0" applyNumberFormat="1" applyFont="1" applyFill="1" applyBorder="1" applyAlignment="1">
      <alignment horizontal="center" vertical="center"/>
    </xf>
    <xf numFmtId="9" fontId="46" fillId="39" borderId="59" xfId="0" applyNumberFormat="1" applyFont="1" applyFill="1" applyBorder="1" applyAlignment="1">
      <alignment horizontal="center" vertical="center"/>
    </xf>
    <xf numFmtId="0" fontId="44" fillId="39" borderId="85" xfId="0" applyFont="1" applyFill="1" applyBorder="1" applyAlignment="1">
      <alignment horizontal="center"/>
    </xf>
    <xf numFmtId="0" fontId="54" fillId="8" borderId="91" xfId="0" applyFont="1" applyFill="1" applyBorder="1" applyAlignment="1">
      <alignment horizontal="center"/>
    </xf>
    <xf numFmtId="0" fontId="46" fillId="8" borderId="92" xfId="0" applyFont="1" applyFill="1" applyBorder="1" applyAlignment="1">
      <alignment horizontal="center" vertical="center"/>
    </xf>
    <xf numFmtId="0" fontId="46" fillId="8" borderId="91" xfId="0" applyFont="1" applyFill="1" applyBorder="1" applyAlignment="1">
      <alignment horizontal="center" vertical="center"/>
    </xf>
    <xf numFmtId="9" fontId="46" fillId="8" borderId="91" xfId="0" applyNumberFormat="1" applyFont="1" applyFill="1" applyBorder="1" applyAlignment="1">
      <alignment horizontal="center" vertical="center"/>
    </xf>
    <xf numFmtId="9" fontId="46" fillId="38" borderId="92" xfId="0" applyNumberFormat="1" applyFont="1" applyFill="1" applyBorder="1" applyAlignment="1">
      <alignment horizontal="center" vertical="center"/>
    </xf>
    <xf numFmtId="9" fontId="46" fillId="38" borderId="91" xfId="0" applyNumberFormat="1" applyFont="1" applyFill="1" applyBorder="1" applyAlignment="1">
      <alignment horizontal="center" vertical="center"/>
    </xf>
    <xf numFmtId="9" fontId="46" fillId="38" borderId="93" xfId="0" applyNumberFormat="1" applyFont="1" applyFill="1" applyBorder="1" applyAlignment="1">
      <alignment horizontal="center" vertical="center"/>
    </xf>
    <xf numFmtId="10" fontId="46" fillId="8" borderId="31" xfId="0" applyNumberFormat="1" applyFont="1" applyFill="1" applyBorder="1" applyAlignment="1">
      <alignment horizontal="center" vertical="center"/>
    </xf>
    <xf numFmtId="0" fontId="44" fillId="39" borderId="97" xfId="0" applyFont="1" applyFill="1" applyBorder="1" applyAlignment="1">
      <alignment horizontal="center"/>
    </xf>
    <xf numFmtId="9" fontId="46" fillId="25" borderId="98" xfId="0" applyNumberFormat="1" applyFont="1" applyFill="1" applyBorder="1" applyAlignment="1">
      <alignment horizontal="center" vertical="center"/>
    </xf>
    <xf numFmtId="10" fontId="46" fillId="8" borderId="98" xfId="0" applyNumberFormat="1" applyFont="1" applyFill="1" applyBorder="1" applyAlignment="1">
      <alignment horizontal="center" vertical="center"/>
    </xf>
    <xf numFmtId="0" fontId="44" fillId="39" borderId="102" xfId="0" applyFont="1" applyFill="1" applyBorder="1" applyAlignment="1">
      <alignment horizontal="center"/>
    </xf>
    <xf numFmtId="9" fontId="46" fillId="25" borderId="36" xfId="0" applyNumberFormat="1" applyFont="1" applyFill="1" applyBorder="1" applyAlignment="1">
      <alignment horizontal="center" vertical="center"/>
    </xf>
    <xf numFmtId="9" fontId="46" fillId="25" borderId="103" xfId="0" applyNumberFormat="1" applyFont="1" applyFill="1" applyBorder="1" applyAlignment="1">
      <alignment horizontal="center" vertical="center"/>
    </xf>
    <xf numFmtId="0" fontId="44" fillId="39" borderId="104" xfId="0" applyFont="1" applyFill="1" applyBorder="1" applyAlignment="1">
      <alignment horizontal="center"/>
    </xf>
    <xf numFmtId="9" fontId="46" fillId="39" borderId="105" xfId="0" applyNumberFormat="1" applyFont="1" applyFill="1" applyBorder="1" applyAlignment="1">
      <alignment horizontal="center" vertical="center"/>
    </xf>
    <xf numFmtId="9" fontId="46" fillId="39" borderId="106" xfId="0" applyNumberFormat="1" applyFont="1" applyFill="1" applyBorder="1" applyAlignment="1">
      <alignment horizontal="center" vertical="center"/>
    </xf>
    <xf numFmtId="0" fontId="44" fillId="39" borderId="107" xfId="0" applyFont="1" applyFill="1" applyBorder="1" applyAlignment="1">
      <alignment horizontal="center"/>
    </xf>
    <xf numFmtId="0" fontId="108" fillId="0" borderId="37" xfId="0" applyFont="1" applyBorder="1" applyAlignment="1">
      <alignment horizontal="center" vertical="center"/>
    </xf>
    <xf numFmtId="0" fontId="108" fillId="0" borderId="31" xfId="0" applyFont="1" applyBorder="1" applyAlignment="1">
      <alignment horizontal="center" vertical="center" wrapText="1"/>
    </xf>
    <xf numFmtId="0" fontId="108" fillId="0" borderId="41" xfId="0" applyFont="1" applyBorder="1" applyAlignment="1">
      <alignment horizontal="center" vertical="center"/>
    </xf>
    <xf numFmtId="0" fontId="110" fillId="0" borderId="31" xfId="0" applyFont="1" applyBorder="1" applyAlignment="1">
      <alignment horizontal="center" vertical="center"/>
    </xf>
    <xf numFmtId="0" fontId="109" fillId="0" borderId="31" xfId="0" applyFont="1" applyBorder="1" applyAlignment="1">
      <alignment horizontal="center" vertical="center"/>
    </xf>
    <xf numFmtId="0" fontId="49" fillId="22" borderId="23" xfId="0" applyFont="1" applyFill="1" applyBorder="1" applyAlignment="1">
      <alignment horizontal="center" vertical="center" wrapText="1"/>
    </xf>
    <xf numFmtId="0" fontId="49" fillId="0" borderId="23" xfId="0" applyFont="1" applyBorder="1" applyAlignment="1">
      <alignment horizontal="center" vertical="center" wrapText="1"/>
    </xf>
    <xf numFmtId="9" fontId="46" fillId="0" borderId="23" xfId="0" applyNumberFormat="1" applyFont="1" applyBorder="1" applyAlignment="1">
      <alignment horizontal="center" vertical="center" wrapText="1"/>
    </xf>
    <xf numFmtId="0" fontId="33" fillId="34" borderId="25" xfId="0" applyFont="1" applyFill="1" applyBorder="1" applyAlignment="1">
      <alignment vertical="center" wrapText="1"/>
    </xf>
    <xf numFmtId="9" fontId="33" fillId="8" borderId="25" xfId="188" applyNumberFormat="1" applyFont="1" applyFill="1" applyBorder="1" applyAlignment="1">
      <alignment horizontal="center" vertical="center"/>
    </xf>
    <xf numFmtId="0" fontId="33" fillId="0" borderId="57" xfId="0" applyFont="1" applyBorder="1" applyAlignment="1">
      <alignment horizontal="center" vertical="center"/>
    </xf>
    <xf numFmtId="0" fontId="33" fillId="0" borderId="31" xfId="0" applyFont="1" applyBorder="1" applyAlignment="1">
      <alignment horizontal="center" vertical="center"/>
    </xf>
    <xf numFmtId="14" fontId="33" fillId="0" borderId="31" xfId="0" applyNumberFormat="1" applyFont="1" applyBorder="1" applyAlignment="1">
      <alignment horizontal="center" vertical="center" wrapText="1"/>
    </xf>
    <xf numFmtId="0" fontId="33" fillId="0" borderId="0" xfId="0" applyFont="1" applyAlignment="1">
      <alignment horizontal="center" vertical="center" wrapText="1"/>
    </xf>
    <xf numFmtId="0" fontId="33" fillId="44" borderId="54" xfId="0" applyFont="1" applyFill="1" applyBorder="1" applyAlignment="1">
      <alignment horizontal="center" vertical="center" wrapText="1"/>
    </xf>
    <xf numFmtId="0" fontId="33" fillId="26" borderId="20" xfId="0" applyFont="1" applyFill="1" applyBorder="1" applyAlignment="1">
      <alignment horizontal="center" vertical="center" wrapText="1"/>
    </xf>
    <xf numFmtId="0" fontId="33" fillId="45" borderId="20" xfId="0" applyFont="1" applyFill="1" applyBorder="1" applyAlignment="1">
      <alignment horizontal="center" vertical="center" wrapText="1"/>
    </xf>
    <xf numFmtId="0" fontId="33" fillId="26" borderId="5" xfId="0" applyFont="1" applyFill="1" applyBorder="1" applyAlignment="1">
      <alignment horizontal="center" vertical="center"/>
    </xf>
    <xf numFmtId="1" fontId="33" fillId="35" borderId="20" xfId="0" applyNumberFormat="1" applyFont="1" applyFill="1" applyBorder="1" applyAlignment="1">
      <alignment horizontal="center" vertical="center" wrapText="1"/>
    </xf>
    <xf numFmtId="1" fontId="33" fillId="33" borderId="20" xfId="0" applyNumberFormat="1" applyFont="1" applyFill="1" applyBorder="1" applyAlignment="1">
      <alignment horizontal="center" vertical="center" wrapText="1"/>
    </xf>
    <xf numFmtId="0" fontId="33" fillId="6" borderId="20" xfId="0" applyFont="1" applyFill="1" applyBorder="1" applyAlignment="1">
      <alignment horizontal="center" vertical="center" wrapText="1"/>
    </xf>
    <xf numFmtId="9" fontId="46" fillId="8" borderId="108" xfId="0" applyNumberFormat="1" applyFont="1" applyFill="1" applyBorder="1" applyAlignment="1">
      <alignment horizontal="center" vertical="center"/>
    </xf>
    <xf numFmtId="9" fontId="46" fillId="8" borderId="34" xfId="0" applyNumberFormat="1" applyFont="1" applyFill="1" applyBorder="1" applyAlignment="1">
      <alignment horizontal="center" vertical="center"/>
    </xf>
    <xf numFmtId="9" fontId="44" fillId="2" borderId="23" xfId="164" applyNumberFormat="1" applyFont="1" applyFill="1" applyBorder="1" applyAlignment="1">
      <alignment horizontal="center" vertical="center"/>
    </xf>
    <xf numFmtId="0" fontId="78" fillId="15" borderId="31" xfId="0" applyFont="1" applyFill="1" applyBorder="1"/>
    <xf numFmtId="0" fontId="33" fillId="15" borderId="23" xfId="0" applyFont="1" applyFill="1" applyBorder="1" applyAlignment="1">
      <alignment horizontal="center" vertical="center" wrapText="1"/>
    </xf>
    <xf numFmtId="0" fontId="33" fillId="15" borderId="24" xfId="0" applyFont="1" applyFill="1" applyBorder="1" applyAlignment="1">
      <alignment horizontal="center" vertical="center" wrapText="1"/>
    </xf>
    <xf numFmtId="0" fontId="111" fillId="8" borderId="61" xfId="0" applyFont="1" applyFill="1" applyBorder="1" applyAlignment="1">
      <alignment horizontal="center" vertical="center"/>
    </xf>
    <xf numFmtId="0" fontId="111" fillId="0" borderId="61" xfId="0" applyFont="1" applyBorder="1" applyAlignment="1">
      <alignment horizontal="center" vertical="center" wrapText="1"/>
    </xf>
    <xf numFmtId="0" fontId="58" fillId="15" borderId="25" xfId="0" applyFont="1" applyFill="1" applyBorder="1" applyAlignment="1">
      <alignment horizontal="center" vertical="center"/>
    </xf>
    <xf numFmtId="0" fontId="58" fillId="15" borderId="61" xfId="0" applyFont="1" applyFill="1" applyBorder="1" applyAlignment="1">
      <alignment horizontal="center" vertical="center"/>
    </xf>
    <xf numFmtId="0" fontId="33" fillId="15" borderId="57" xfId="0" applyFont="1" applyFill="1" applyBorder="1" applyAlignment="1">
      <alignment horizontal="center" vertical="center"/>
    </xf>
    <xf numFmtId="0" fontId="58" fillId="8" borderId="64" xfId="0" applyFont="1" applyFill="1" applyBorder="1" applyAlignment="1">
      <alignment horizontal="center" vertical="center"/>
    </xf>
    <xf numFmtId="0" fontId="58" fillId="15" borderId="33" xfId="0" applyFont="1" applyFill="1" applyBorder="1" applyAlignment="1">
      <alignment horizontal="center" vertical="center"/>
    </xf>
    <xf numFmtId="0" fontId="58" fillId="8" borderId="59" xfId="0" applyFont="1" applyFill="1" applyBorder="1" applyAlignment="1">
      <alignment horizontal="center" vertical="center"/>
    </xf>
    <xf numFmtId="0" fontId="0" fillId="15" borderId="37" xfId="0" applyFill="1" applyBorder="1" applyAlignment="1">
      <alignment horizontal="center" vertical="center"/>
    </xf>
    <xf numFmtId="0" fontId="0" fillId="15" borderId="31" xfId="0" applyFill="1" applyBorder="1" applyAlignment="1">
      <alignment horizontal="center" vertical="center"/>
    </xf>
    <xf numFmtId="0" fontId="65" fillId="0" borderId="0" xfId="0" applyFont="1" applyAlignment="1">
      <alignment horizontal="center" vertical="center" wrapText="1"/>
    </xf>
    <xf numFmtId="9" fontId="33" fillId="0" borderId="0" xfId="0" applyNumberFormat="1" applyFont="1" applyAlignment="1">
      <alignment horizontal="center" vertical="center" wrapText="1"/>
    </xf>
    <xf numFmtId="0" fontId="65" fillId="4" borderId="37" xfId="0" applyFont="1" applyFill="1" applyBorder="1" applyAlignment="1">
      <alignment horizontal="center" vertical="center" wrapText="1"/>
    </xf>
    <xf numFmtId="14" fontId="65" fillId="0" borderId="23" xfId="0" applyNumberFormat="1" applyFont="1" applyBorder="1" applyAlignment="1">
      <alignment horizontal="center" vertical="center" wrapText="1"/>
    </xf>
    <xf numFmtId="0" fontId="44" fillId="0" borderId="23" xfId="174" applyFont="1" applyBorder="1" applyAlignment="1" applyProtection="1">
      <alignment vertical="center" wrapText="1"/>
      <protection locked="0"/>
    </xf>
    <xf numFmtId="0" fontId="64" fillId="24" borderId="23" xfId="174" applyFont="1" applyFill="1" applyBorder="1" applyAlignment="1" applyProtection="1">
      <alignment vertical="center" wrapText="1"/>
      <protection locked="0"/>
    </xf>
    <xf numFmtId="0" fontId="75" fillId="8" borderId="31" xfId="0" applyFont="1" applyFill="1" applyBorder="1" applyAlignment="1">
      <alignment horizontal="center" vertical="center" wrapText="1" readingOrder="1"/>
    </xf>
    <xf numFmtId="0" fontId="112" fillId="0" borderId="31" xfId="0" applyFont="1" applyBorder="1" applyAlignment="1">
      <alignment horizontal="center" vertical="center" wrapText="1" readingOrder="1"/>
    </xf>
    <xf numFmtId="14" fontId="64" fillId="0" borderId="23" xfId="0" applyNumberFormat="1" applyFont="1" applyBorder="1" applyAlignment="1">
      <alignment horizontal="center" vertical="center" wrapText="1"/>
    </xf>
    <xf numFmtId="0" fontId="44" fillId="0" borderId="23" xfId="0" applyFont="1" applyBorder="1" applyAlignment="1" applyProtection="1">
      <alignment vertical="center" wrapText="1"/>
      <protection locked="0"/>
    </xf>
    <xf numFmtId="0" fontId="64" fillId="24" borderId="23" xfId="0" applyFont="1" applyFill="1" applyBorder="1" applyAlignment="1" applyProtection="1">
      <alignment vertical="center" wrapText="1"/>
      <protection locked="0"/>
    </xf>
    <xf numFmtId="0" fontId="33" fillId="22" borderId="31" xfId="0" applyFont="1" applyFill="1" applyBorder="1" applyAlignment="1">
      <alignment horizontal="center" vertical="center" wrapText="1"/>
    </xf>
    <xf numFmtId="0" fontId="113" fillId="46" borderId="32" xfId="0" applyFont="1" applyFill="1" applyBorder="1" applyAlignment="1">
      <alignment horizontal="center" vertical="center" wrapText="1"/>
    </xf>
    <xf numFmtId="1" fontId="0" fillId="0" borderId="0" xfId="0" applyNumberFormat="1" applyAlignment="1">
      <alignment horizontal="center" vertical="center"/>
    </xf>
    <xf numFmtId="9" fontId="75" fillId="15" borderId="31" xfId="0" applyNumberFormat="1" applyFont="1" applyFill="1" applyBorder="1" applyAlignment="1" applyProtection="1">
      <alignment horizontal="center" vertical="center" wrapText="1"/>
      <protection locked="0"/>
    </xf>
    <xf numFmtId="1" fontId="58" fillId="8" borderId="23" xfId="0" applyNumberFormat="1" applyFont="1" applyFill="1" applyBorder="1" applyAlignment="1">
      <alignment horizontal="center" vertical="center" wrapText="1"/>
    </xf>
    <xf numFmtId="9" fontId="58" fillId="8" borderId="23" xfId="188" applyNumberFormat="1" applyFont="1" applyFill="1" applyBorder="1" applyAlignment="1">
      <alignment horizontal="center" vertical="center"/>
    </xf>
    <xf numFmtId="9" fontId="58" fillId="38" borderId="23" xfId="0" applyNumberFormat="1" applyFont="1" applyFill="1" applyBorder="1" applyAlignment="1">
      <alignment horizontal="center" vertical="center"/>
    </xf>
    <xf numFmtId="9" fontId="58" fillId="0" borderId="23" xfId="0" applyNumberFormat="1" applyFont="1" applyBorder="1" applyAlignment="1">
      <alignment horizontal="center" vertical="center"/>
    </xf>
    <xf numFmtId="9" fontId="58" fillId="8" borderId="25" xfId="188" applyNumberFormat="1" applyFont="1" applyFill="1" applyBorder="1" applyAlignment="1">
      <alignment horizontal="center" vertical="center"/>
    </xf>
    <xf numFmtId="0" fontId="58" fillId="0" borderId="61" xfId="0" applyFont="1" applyBorder="1" applyAlignment="1">
      <alignment horizontal="center" vertical="center" wrapText="1"/>
    </xf>
    <xf numFmtId="0" fontId="58" fillId="8" borderId="23" xfId="0" applyFont="1" applyFill="1" applyBorder="1" applyAlignment="1">
      <alignment horizontal="center" vertical="center" wrapText="1"/>
    </xf>
    <xf numFmtId="9" fontId="58" fillId="8" borderId="23" xfId="0" applyNumberFormat="1" applyFont="1" applyFill="1" applyBorder="1" applyAlignment="1">
      <alignment horizontal="center" vertical="center"/>
    </xf>
    <xf numFmtId="9" fontId="58" fillId="42" borderId="23" xfId="0" applyNumberFormat="1" applyFont="1" applyFill="1" applyBorder="1" applyAlignment="1">
      <alignment horizontal="center" vertical="center"/>
    </xf>
    <xf numFmtId="9" fontId="58" fillId="43" borderId="23" xfId="0" applyNumberFormat="1" applyFont="1" applyFill="1" applyBorder="1" applyAlignment="1">
      <alignment horizontal="center" vertical="center"/>
    </xf>
    <xf numFmtId="0" fontId="0" fillId="8" borderId="31" xfId="0" applyFill="1" applyBorder="1" applyAlignment="1">
      <alignment horizontal="center" vertical="center"/>
    </xf>
    <xf numFmtId="0" fontId="0" fillId="8" borderId="34" xfId="0" applyFill="1" applyBorder="1" applyAlignment="1">
      <alignment horizontal="center" vertical="center"/>
    </xf>
    <xf numFmtId="0" fontId="78" fillId="8" borderId="31" xfId="0" applyFont="1" applyFill="1" applyBorder="1" applyAlignment="1">
      <alignment horizontal="center" vertical="center" wrapText="1"/>
    </xf>
    <xf numFmtId="0" fontId="0" fillId="8" borderId="36" xfId="0" applyFill="1" applyBorder="1" applyAlignment="1">
      <alignment horizontal="center" vertical="center"/>
    </xf>
    <xf numFmtId="0" fontId="0" fillId="8" borderId="34" xfId="0" applyFill="1" applyBorder="1" applyAlignment="1">
      <alignment horizontal="center" vertical="center" wrapText="1"/>
    </xf>
    <xf numFmtId="0" fontId="0" fillId="8" borderId="34" xfId="0" applyFill="1" applyBorder="1" applyAlignment="1">
      <alignment horizontal="center" wrapText="1"/>
    </xf>
    <xf numFmtId="0" fontId="33" fillId="8" borderId="43" xfId="0" applyFont="1" applyFill="1" applyBorder="1" applyAlignment="1">
      <alignment horizontal="center" vertical="center"/>
    </xf>
    <xf numFmtId="0" fontId="0" fillId="8" borderId="1" xfId="0" applyFill="1" applyBorder="1" applyAlignment="1">
      <alignment vertical="center"/>
    </xf>
    <xf numFmtId="0" fontId="0" fillId="8" borderId="36" xfId="0" applyFill="1" applyBorder="1" applyAlignment="1">
      <alignment horizontal="center" vertical="center" wrapText="1"/>
    </xf>
    <xf numFmtId="0" fontId="0" fillId="8" borderId="31" xfId="0" applyFill="1" applyBorder="1" applyAlignment="1">
      <alignment horizontal="center" vertical="center" wrapText="1"/>
    </xf>
    <xf numFmtId="0" fontId="0" fillId="8" borderId="39" xfId="0" applyFill="1" applyBorder="1" applyAlignment="1">
      <alignment horizontal="center" vertical="center"/>
    </xf>
    <xf numFmtId="0" fontId="0" fillId="8" borderId="40" xfId="0" applyFill="1" applyBorder="1" applyAlignment="1">
      <alignment horizontal="center" vertical="center"/>
    </xf>
    <xf numFmtId="0" fontId="0" fillId="8" borderId="37" xfId="0" applyFill="1" applyBorder="1" applyAlignment="1">
      <alignment horizontal="center" vertical="center"/>
    </xf>
    <xf numFmtId="0" fontId="0" fillId="8" borderId="32" xfId="0" applyFill="1" applyBorder="1" applyAlignment="1">
      <alignment horizontal="center" vertical="center"/>
    </xf>
    <xf numFmtId="9" fontId="111" fillId="0" borderId="0" xfId="0" applyNumberFormat="1" applyFont="1" applyAlignment="1">
      <alignment horizontal="center" vertical="center" wrapText="1"/>
    </xf>
    <xf numFmtId="9" fontId="34" fillId="8" borderId="37" xfId="4" applyNumberFormat="1" applyFont="1" applyFill="1" applyBorder="1" applyAlignment="1">
      <alignment horizontal="center" vertical="center" wrapText="1"/>
    </xf>
    <xf numFmtId="9" fontId="34" fillId="3" borderId="37" xfId="4" applyNumberFormat="1" applyFont="1" applyFill="1" applyBorder="1" applyAlignment="1">
      <alignment horizontal="center" vertical="center" wrapText="1"/>
    </xf>
    <xf numFmtId="0" fontId="65" fillId="4" borderId="1" xfId="0" applyFont="1" applyFill="1" applyBorder="1" applyAlignment="1">
      <alignment horizontal="center" vertical="center" wrapText="1"/>
    </xf>
    <xf numFmtId="9" fontId="35" fillId="8" borderId="1" xfId="191" applyNumberFormat="1" applyFont="1" applyFill="1" applyBorder="1" applyAlignment="1" applyProtection="1">
      <alignment horizontal="center" vertical="center" wrapText="1"/>
    </xf>
    <xf numFmtId="9" fontId="44" fillId="0" borderId="23" xfId="0" applyNumberFormat="1" applyFont="1" applyBorder="1" applyAlignment="1">
      <alignment horizontal="center" vertical="center" wrapText="1"/>
    </xf>
    <xf numFmtId="9" fontId="44" fillId="33" borderId="23" xfId="0" applyNumberFormat="1" applyFont="1" applyFill="1" applyBorder="1" applyAlignment="1">
      <alignment horizontal="center" vertical="center" wrapText="1"/>
    </xf>
    <xf numFmtId="0" fontId="46" fillId="26" borderId="23" xfId="0" applyFont="1" applyFill="1" applyBorder="1" applyAlignment="1">
      <alignment horizontal="center" vertical="center" wrapText="1"/>
    </xf>
    <xf numFmtId="1" fontId="44" fillId="0" borderId="23" xfId="0" applyNumberFormat="1" applyFont="1" applyBorder="1" applyAlignment="1">
      <alignment horizontal="center" vertical="center" wrapText="1"/>
    </xf>
    <xf numFmtId="165" fontId="46" fillId="0" borderId="23" xfId="172" applyNumberFormat="1" applyFont="1" applyBorder="1" applyAlignment="1">
      <alignment horizontal="center" vertical="center" wrapText="1"/>
    </xf>
    <xf numFmtId="0" fontId="44" fillId="26" borderId="23" xfId="0" applyFont="1" applyFill="1" applyBorder="1" applyAlignment="1">
      <alignment horizontal="center" vertical="center" wrapText="1"/>
    </xf>
    <xf numFmtId="14" fontId="46" fillId="0" borderId="23" xfId="26" applyNumberFormat="1" applyFont="1" applyBorder="1" applyAlignment="1">
      <alignment horizontal="center" vertical="center" wrapText="1"/>
    </xf>
    <xf numFmtId="14" fontId="46" fillId="0" borderId="23" xfId="192" applyNumberFormat="1" applyFont="1" applyBorder="1" applyAlignment="1">
      <alignment horizontal="center" vertical="center" wrapText="1"/>
    </xf>
    <xf numFmtId="9" fontId="46" fillId="8" borderId="23" xfId="27" applyFont="1" applyFill="1" applyBorder="1" applyAlignment="1">
      <alignment horizontal="center" vertical="center" wrapText="1"/>
    </xf>
    <xf numFmtId="0" fontId="46" fillId="0" borderId="23" xfId="174" applyFont="1" applyBorder="1" applyAlignment="1">
      <alignment horizontal="center" vertical="center" wrapText="1"/>
    </xf>
    <xf numFmtId="14" fontId="46" fillId="8" borderId="23" xfId="26" applyNumberFormat="1" applyFont="1" applyFill="1" applyBorder="1" applyAlignment="1">
      <alignment horizontal="center" vertical="center" wrapText="1"/>
    </xf>
    <xf numFmtId="0" fontId="46" fillId="0" borderId="23" xfId="192" applyFont="1" applyBorder="1" applyAlignment="1">
      <alignment horizontal="center" vertical="center" wrapText="1"/>
    </xf>
    <xf numFmtId="0" fontId="46" fillId="8" borderId="23" xfId="174" applyFont="1" applyFill="1" applyBorder="1" applyAlignment="1">
      <alignment horizontal="center" vertical="center" wrapText="1"/>
    </xf>
    <xf numFmtId="0" fontId="46" fillId="8" borderId="23" xfId="192" applyFont="1" applyFill="1" applyBorder="1" applyAlignment="1">
      <alignment horizontal="center" vertical="center" wrapText="1"/>
    </xf>
    <xf numFmtId="9" fontId="46" fillId="0" borderId="23" xfId="174" applyNumberFormat="1" applyFont="1" applyBorder="1" applyAlignment="1" applyProtection="1">
      <alignment horizontal="center" vertical="center" wrapText="1"/>
      <protection locked="0"/>
    </xf>
    <xf numFmtId="9" fontId="46" fillId="0" borderId="23" xfId="179" applyFont="1" applyBorder="1" applyAlignment="1">
      <alignment horizontal="center" vertical="center" wrapText="1"/>
    </xf>
    <xf numFmtId="46" fontId="46" fillId="0" borderId="23" xfId="0" applyNumberFormat="1" applyFont="1" applyBorder="1" applyAlignment="1">
      <alignment horizontal="center" vertical="center" wrapText="1"/>
    </xf>
    <xf numFmtId="0" fontId="46" fillId="0" borderId="23" xfId="0" applyFont="1" applyBorder="1" applyAlignment="1">
      <alignment horizontal="left" vertical="center" wrapText="1"/>
    </xf>
    <xf numFmtId="14" fontId="33" fillId="0" borderId="23" xfId="0" applyNumberFormat="1" applyFont="1" applyBorder="1" applyAlignment="1">
      <alignment horizontal="center" vertical="center" wrapText="1"/>
    </xf>
    <xf numFmtId="0" fontId="33" fillId="0" borderId="0" xfId="0" applyFont="1" applyAlignment="1">
      <alignment wrapText="1"/>
    </xf>
    <xf numFmtId="0" fontId="116" fillId="0" borderId="23" xfId="191" applyFont="1" applyFill="1" applyBorder="1" applyAlignment="1">
      <alignment horizontal="center" vertical="center" wrapText="1"/>
    </xf>
    <xf numFmtId="0" fontId="116" fillId="17" borderId="23" xfId="191" applyFont="1" applyFill="1" applyBorder="1" applyAlignment="1">
      <alignment horizontal="center" vertical="center" wrapText="1"/>
    </xf>
    <xf numFmtId="0" fontId="33" fillId="26" borderId="23" xfId="0" applyFont="1" applyFill="1" applyBorder="1" applyAlignment="1">
      <alignment horizontal="center" vertical="center" wrapText="1"/>
    </xf>
    <xf numFmtId="0" fontId="33" fillId="0" borderId="23" xfId="0" applyFont="1" applyBorder="1" applyAlignment="1">
      <alignment horizontal="center" vertical="center"/>
    </xf>
    <xf numFmtId="9" fontId="100" fillId="0" borderId="25" xfId="179" applyFont="1" applyFill="1" applyBorder="1" applyAlignment="1">
      <alignment horizontal="center" vertical="center"/>
    </xf>
    <xf numFmtId="0" fontId="33" fillId="0" borderId="24" xfId="0" applyFont="1" applyBorder="1" applyAlignment="1">
      <alignment horizontal="center" vertical="center" wrapText="1"/>
    </xf>
    <xf numFmtId="0" fontId="33" fillId="0" borderId="1" xfId="0" applyFont="1" applyBorder="1" applyAlignment="1">
      <alignment horizontal="center" vertical="center" wrapText="1"/>
    </xf>
    <xf numFmtId="1" fontId="40" fillId="0" borderId="23" xfId="174" applyNumberFormat="1" applyFont="1" applyBorder="1" applyAlignment="1">
      <alignment horizontal="center" vertical="center"/>
    </xf>
    <xf numFmtId="0" fontId="39" fillId="26" borderId="23" xfId="0" applyFont="1" applyFill="1" applyBorder="1" applyAlignment="1">
      <alignment horizontal="center" vertical="center"/>
    </xf>
    <xf numFmtId="14" fontId="46" fillId="0" borderId="23" xfId="0" applyNumberFormat="1" applyFont="1" applyBorder="1" applyAlignment="1">
      <alignment horizontal="center" vertical="center"/>
    </xf>
    <xf numFmtId="165" fontId="46" fillId="0" borderId="23" xfId="0" applyNumberFormat="1" applyFont="1" applyBorder="1" applyAlignment="1">
      <alignment horizontal="center" vertical="center" wrapText="1"/>
    </xf>
    <xf numFmtId="1" fontId="44" fillId="0" borderId="23" xfId="174" applyNumberFormat="1" applyFont="1" applyBorder="1" applyAlignment="1">
      <alignment horizontal="center" vertical="center"/>
    </xf>
    <xf numFmtId="14" fontId="44" fillId="0" borderId="23" xfId="0" applyNumberFormat="1" applyFont="1" applyBorder="1" applyAlignment="1">
      <alignment horizontal="center" vertical="center" wrapText="1"/>
    </xf>
    <xf numFmtId="0" fontId="44" fillId="0" borderId="23" xfId="174" applyFont="1" applyBorder="1" applyAlignment="1">
      <alignment horizontal="center" vertical="center"/>
    </xf>
    <xf numFmtId="165" fontId="46" fillId="0" borderId="23" xfId="4" applyNumberFormat="1" applyFont="1" applyBorder="1" applyAlignment="1">
      <alignment horizontal="center" vertical="center" wrapText="1"/>
    </xf>
    <xf numFmtId="1" fontId="44" fillId="0" borderId="23" xfId="166" applyNumberFormat="1" applyFont="1" applyBorder="1" applyAlignment="1">
      <alignment horizontal="center" vertical="center"/>
    </xf>
    <xf numFmtId="14" fontId="46" fillId="0" borderId="23" xfId="4" applyNumberFormat="1" applyFont="1" applyBorder="1" applyAlignment="1" applyProtection="1">
      <alignment horizontal="center" vertical="center"/>
      <protection locked="0"/>
    </xf>
    <xf numFmtId="166" fontId="46" fillId="8" borderId="23" xfId="173" applyNumberFormat="1" applyFont="1" applyFill="1" applyBorder="1" applyAlignment="1">
      <alignment horizontal="center" vertical="center" wrapText="1"/>
    </xf>
    <xf numFmtId="0" fontId="46" fillId="8" borderId="23" xfId="173" applyFont="1" applyFill="1" applyBorder="1" applyAlignment="1">
      <alignment horizontal="center" vertical="center" wrapText="1"/>
    </xf>
    <xf numFmtId="0" fontId="46" fillId="0" borderId="23" xfId="166" applyFont="1" applyBorder="1" applyAlignment="1">
      <alignment horizontal="center" vertical="center" wrapText="1"/>
    </xf>
    <xf numFmtId="165" fontId="46" fillId="0" borderId="23" xfId="185" applyNumberFormat="1" applyFont="1" applyBorder="1" applyAlignment="1">
      <alignment horizontal="center" vertical="center" wrapText="1"/>
    </xf>
    <xf numFmtId="0" fontId="44" fillId="8" borderId="23" xfId="0" applyFont="1" applyFill="1" applyBorder="1" applyAlignment="1">
      <alignment horizontal="center" vertical="center" wrapText="1"/>
    </xf>
    <xf numFmtId="0" fontId="46" fillId="0" borderId="23" xfId="0" applyFont="1" applyBorder="1" applyAlignment="1">
      <alignment vertical="center" wrapText="1"/>
    </xf>
    <xf numFmtId="0" fontId="46" fillId="0" borderId="13" xfId="0" applyFont="1" applyBorder="1" applyAlignment="1">
      <alignment vertical="center" wrapText="1"/>
    </xf>
    <xf numFmtId="0" fontId="117" fillId="0" borderId="13" xfId="0" applyFont="1" applyBorder="1" applyAlignment="1">
      <alignment vertical="center" wrapText="1"/>
    </xf>
    <xf numFmtId="0" fontId="46" fillId="8" borderId="23" xfId="1" applyFont="1" applyFill="1" applyBorder="1" applyAlignment="1">
      <alignment horizontal="center" vertical="center" wrapText="1"/>
    </xf>
    <xf numFmtId="165" fontId="46" fillId="0" borderId="23" xfId="84" applyNumberFormat="1" applyFont="1" applyBorder="1" applyAlignment="1">
      <alignment horizontal="center" vertical="center" wrapText="1"/>
    </xf>
    <xf numFmtId="1" fontId="44" fillId="0" borderId="23" xfId="0" applyNumberFormat="1" applyFont="1" applyBorder="1" applyAlignment="1">
      <alignment horizontal="center" vertical="center"/>
    </xf>
    <xf numFmtId="166" fontId="46" fillId="8" borderId="23" xfId="84" applyNumberFormat="1" applyFont="1" applyFill="1" applyBorder="1" applyAlignment="1">
      <alignment horizontal="center" vertical="center" wrapText="1"/>
    </xf>
    <xf numFmtId="0" fontId="46" fillId="8" borderId="23" xfId="84" applyFont="1" applyFill="1" applyBorder="1" applyAlignment="1">
      <alignment horizontal="center" vertical="center"/>
    </xf>
    <xf numFmtId="166" fontId="46" fillId="8" borderId="23" xfId="84" applyNumberFormat="1" applyFont="1" applyFill="1" applyBorder="1" applyAlignment="1">
      <alignment horizontal="center" vertical="center"/>
    </xf>
    <xf numFmtId="166" fontId="46" fillId="0" borderId="23" xfId="84" applyNumberFormat="1" applyFont="1" applyBorder="1" applyAlignment="1">
      <alignment horizontal="center" vertical="center"/>
    </xf>
    <xf numFmtId="9" fontId="46" fillId="0" borderId="23" xfId="0" applyNumberFormat="1" applyFont="1" applyBorder="1" applyAlignment="1" applyProtection="1">
      <alignment horizontal="center" vertical="center"/>
      <protection locked="0"/>
    </xf>
    <xf numFmtId="9" fontId="46" fillId="0" borderId="23" xfId="187" applyFont="1" applyBorder="1" applyAlignment="1">
      <alignment horizontal="center" vertical="center" wrapText="1"/>
    </xf>
    <xf numFmtId="9" fontId="46" fillId="0" borderId="23" xfId="187" applyFont="1" applyBorder="1" applyAlignment="1">
      <alignment horizontal="left" vertical="center" wrapText="1"/>
    </xf>
    <xf numFmtId="0" fontId="118" fillId="26" borderId="1" xfId="0" applyFont="1" applyFill="1" applyBorder="1" applyAlignment="1">
      <alignment vertical="top" wrapText="1"/>
    </xf>
    <xf numFmtId="0" fontId="118" fillId="26" borderId="2" xfId="0" applyFont="1" applyFill="1" applyBorder="1" applyAlignment="1">
      <alignment vertical="top" wrapText="1"/>
    </xf>
    <xf numFmtId="0" fontId="118" fillId="26" borderId="5" xfId="0" applyFont="1" applyFill="1" applyBorder="1" applyAlignment="1">
      <alignment vertical="top" wrapText="1"/>
    </xf>
    <xf numFmtId="0" fontId="118" fillId="26" borderId="7" xfId="0" applyFont="1" applyFill="1" applyBorder="1" applyAlignment="1">
      <alignment vertical="top" wrapText="1"/>
    </xf>
    <xf numFmtId="0" fontId="118" fillId="26" borderId="5" xfId="0" applyFont="1" applyFill="1" applyBorder="1" applyAlignment="1">
      <alignment vertical="center" wrapText="1"/>
    </xf>
    <xf numFmtId="0" fontId="118" fillId="26" borderId="7" xfId="0" applyFont="1" applyFill="1" applyBorder="1" applyAlignment="1">
      <alignment vertical="center" wrapText="1"/>
    </xf>
    <xf numFmtId="0" fontId="118" fillId="0" borderId="0" xfId="0" applyFont="1" applyAlignment="1">
      <alignment vertical="center" wrapText="1"/>
    </xf>
    <xf numFmtId="0" fontId="118" fillId="0" borderId="30" xfId="0" applyFont="1" applyBorder="1" applyAlignment="1">
      <alignment vertical="center"/>
    </xf>
    <xf numFmtId="0" fontId="118" fillId="0" borderId="111" xfId="0" applyFont="1" applyBorder="1" applyAlignment="1">
      <alignment vertical="center"/>
    </xf>
    <xf numFmtId="0" fontId="46" fillId="8" borderId="23" xfId="84" applyFont="1" applyFill="1" applyBorder="1" applyAlignment="1">
      <alignment horizontal="left" vertical="center" wrapText="1"/>
    </xf>
    <xf numFmtId="0" fontId="46" fillId="8" borderId="23" xfId="84" applyFont="1" applyFill="1" applyBorder="1" applyAlignment="1">
      <alignment horizontal="center" vertical="center" wrapText="1"/>
    </xf>
    <xf numFmtId="14" fontId="86" fillId="0" borderId="31" xfId="0" applyNumberFormat="1" applyFont="1" applyBorder="1" applyAlignment="1">
      <alignment horizontal="center" vertical="center" wrapText="1" readingOrder="1"/>
    </xf>
    <xf numFmtId="1" fontId="44" fillId="0" borderId="32" xfId="0" applyNumberFormat="1" applyFont="1" applyBorder="1" applyAlignment="1">
      <alignment horizontal="center" vertical="center" wrapText="1"/>
    </xf>
    <xf numFmtId="165" fontId="46" fillId="0" borderId="31" xfId="84" applyNumberFormat="1" applyFont="1" applyBorder="1" applyAlignment="1">
      <alignment horizontal="center" vertical="center" wrapText="1"/>
    </xf>
    <xf numFmtId="166" fontId="46" fillId="8" borderId="31" xfId="84" applyNumberFormat="1" applyFont="1" applyFill="1" applyBorder="1" applyAlignment="1">
      <alignment horizontal="center" vertical="center" wrapText="1"/>
    </xf>
    <xf numFmtId="0" fontId="46" fillId="8" borderId="31" xfId="84" applyFont="1" applyFill="1" applyBorder="1" applyAlignment="1">
      <alignment horizontal="center" vertical="center" wrapText="1"/>
    </xf>
    <xf numFmtId="0" fontId="46" fillId="8" borderId="34" xfId="84" applyFont="1" applyFill="1" applyBorder="1" applyAlignment="1">
      <alignment horizontal="center" vertical="center" wrapText="1"/>
    </xf>
    <xf numFmtId="0" fontId="46" fillId="0" borderId="34" xfId="0" applyFont="1" applyBorder="1" applyAlignment="1">
      <alignment horizontal="center" vertical="center" wrapText="1"/>
    </xf>
    <xf numFmtId="0" fontId="46" fillId="8" borderId="36" xfId="84" applyFont="1" applyFill="1" applyBorder="1" applyAlignment="1">
      <alignment horizontal="center" vertical="center" wrapText="1"/>
    </xf>
    <xf numFmtId="0" fontId="46" fillId="0" borderId="36" xfId="0" applyFont="1" applyBorder="1" applyAlignment="1">
      <alignment horizontal="center" vertical="center" wrapText="1"/>
    </xf>
    <xf numFmtId="9" fontId="46" fillId="0" borderId="31" xfId="187" applyFont="1" applyBorder="1" applyAlignment="1">
      <alignment horizontal="center" vertical="center" wrapText="1"/>
    </xf>
    <xf numFmtId="9" fontId="46" fillId="0" borderId="34" xfId="187" applyFont="1" applyBorder="1" applyAlignment="1">
      <alignment horizontal="center" vertical="center" wrapText="1"/>
    </xf>
    <xf numFmtId="9" fontId="46" fillId="0" borderId="35" xfId="187" applyFont="1" applyBorder="1" applyAlignment="1">
      <alignment horizontal="center" vertical="center" wrapText="1"/>
    </xf>
    <xf numFmtId="165" fontId="118" fillId="0" borderId="31" xfId="0" applyNumberFormat="1" applyFont="1" applyBorder="1" applyAlignment="1">
      <alignment horizontal="center" vertical="center" wrapText="1" readingOrder="1"/>
    </xf>
    <xf numFmtId="165" fontId="118" fillId="8" borderId="31" xfId="0" applyNumberFormat="1" applyFont="1" applyFill="1" applyBorder="1" applyAlignment="1">
      <alignment horizontal="center" vertical="center" wrapText="1" readingOrder="1"/>
    </xf>
    <xf numFmtId="165" fontId="46" fillId="8" borderId="31" xfId="84" applyNumberFormat="1" applyFont="1" applyFill="1" applyBorder="1" applyAlignment="1">
      <alignment horizontal="center" vertical="center" wrapText="1"/>
    </xf>
    <xf numFmtId="0" fontId="46" fillId="16" borderId="0" xfId="0" applyFont="1" applyFill="1" applyAlignment="1">
      <alignment horizontal="center" vertical="center" wrapText="1"/>
    </xf>
    <xf numFmtId="0" fontId="46" fillId="8" borderId="37" xfId="84" applyFont="1" applyFill="1" applyBorder="1" applyAlignment="1">
      <alignment horizontal="center" vertical="center" wrapText="1"/>
    </xf>
    <xf numFmtId="0" fontId="46" fillId="8" borderId="31" xfId="0" applyFont="1" applyFill="1" applyBorder="1" applyAlignment="1">
      <alignment horizontal="center" vertical="center" wrapText="1"/>
    </xf>
    <xf numFmtId="0" fontId="46" fillId="0" borderId="0" xfId="0" applyFont="1" applyAlignment="1">
      <alignment horizontal="center" wrapText="1"/>
    </xf>
    <xf numFmtId="0" fontId="46" fillId="16" borderId="0" xfId="0" applyFont="1" applyFill="1" applyAlignment="1">
      <alignment horizontal="center" wrapText="1"/>
    </xf>
    <xf numFmtId="0" fontId="33" fillId="0" borderId="0" xfId="0" applyFont="1" applyAlignment="1">
      <alignment horizontal="center" wrapText="1"/>
    </xf>
    <xf numFmtId="0" fontId="46" fillId="16" borderId="58" xfId="0" applyFont="1" applyFill="1" applyBorder="1" applyAlignment="1">
      <alignment horizontal="center" wrapText="1"/>
    </xf>
    <xf numFmtId="0" fontId="44" fillId="8" borderId="31" xfId="84" applyFont="1" applyFill="1" applyBorder="1" applyAlignment="1">
      <alignment horizontal="center" vertical="center" wrapText="1"/>
    </xf>
    <xf numFmtId="14" fontId="46" fillId="26" borderId="2" xfId="0" applyNumberFormat="1" applyFont="1" applyFill="1" applyBorder="1" applyAlignment="1">
      <alignment horizontal="center" vertical="center" wrapText="1"/>
    </xf>
    <xf numFmtId="14" fontId="46" fillId="26" borderId="7" xfId="0" applyNumberFormat="1" applyFont="1" applyFill="1" applyBorder="1" applyAlignment="1">
      <alignment horizontal="center" vertical="center" wrapText="1"/>
    </xf>
    <xf numFmtId="14" fontId="86" fillId="26" borderId="32" xfId="0" applyNumberFormat="1" applyFont="1" applyFill="1" applyBorder="1" applyAlignment="1">
      <alignment horizontal="center" vertical="center" wrapText="1"/>
    </xf>
    <xf numFmtId="14" fontId="86" fillId="0" borderId="32" xfId="0" applyNumberFormat="1" applyFont="1" applyBorder="1" applyAlignment="1">
      <alignment horizontal="center" vertical="center"/>
    </xf>
    <xf numFmtId="0" fontId="46" fillId="8" borderId="31" xfId="84" applyFont="1" applyFill="1" applyBorder="1" applyAlignment="1">
      <alignment horizontal="left" vertical="center" wrapText="1"/>
    </xf>
    <xf numFmtId="9" fontId="46" fillId="2" borderId="31" xfId="188" applyNumberFormat="1" applyFont="1" applyFill="1" applyBorder="1" applyAlignment="1">
      <alignment horizontal="center" vertical="center" wrapText="1"/>
    </xf>
    <xf numFmtId="9" fontId="46" fillId="0" borderId="31" xfId="0" applyNumberFormat="1" applyFont="1" applyBorder="1" applyAlignment="1" applyProtection="1">
      <alignment horizontal="center" vertical="center" wrapText="1"/>
      <protection locked="0"/>
    </xf>
    <xf numFmtId="10" fontId="44" fillId="2" borderId="31" xfId="56" applyNumberFormat="1" applyFont="1" applyFill="1" applyBorder="1" applyAlignment="1">
      <alignment horizontal="center" vertical="center" wrapText="1"/>
    </xf>
    <xf numFmtId="10" fontId="46" fillId="2" borderId="31" xfId="56" applyNumberFormat="1" applyFont="1" applyFill="1" applyBorder="1" applyAlignment="1">
      <alignment horizontal="center" vertical="center" wrapText="1"/>
    </xf>
    <xf numFmtId="0" fontId="54" fillId="0" borderId="23" xfId="184" applyFont="1" applyBorder="1" applyAlignment="1">
      <alignment horizontal="center" vertical="center" wrapText="1"/>
    </xf>
    <xf numFmtId="14" fontId="46" fillId="0" borderId="23" xfId="4" applyNumberFormat="1" applyFont="1" applyBorder="1" applyAlignment="1" applyProtection="1">
      <alignment horizontal="center" vertical="center" wrapText="1"/>
      <protection locked="0"/>
    </xf>
    <xf numFmtId="1" fontId="83" fillId="0" borderId="23" xfId="189" applyNumberFormat="1" applyFont="1" applyBorder="1" applyAlignment="1">
      <alignment horizontal="center" vertical="center" wrapText="1"/>
    </xf>
    <xf numFmtId="0" fontId="46" fillId="0" borderId="23" xfId="4" applyFont="1" applyBorder="1" applyAlignment="1">
      <alignment horizontal="center" vertical="center" wrapText="1"/>
    </xf>
    <xf numFmtId="9" fontId="83" fillId="0" borderId="23" xfId="190" applyFont="1" applyFill="1" applyBorder="1" applyAlignment="1">
      <alignment horizontal="center" vertical="center" wrapText="1"/>
    </xf>
    <xf numFmtId="0" fontId="46" fillId="0" borderId="23" xfId="183" applyFont="1" applyBorder="1" applyAlignment="1">
      <alignment horizontal="center" vertical="center" wrapText="1"/>
    </xf>
    <xf numFmtId="0" fontId="54" fillId="0" borderId="2" xfId="188" applyFont="1" applyBorder="1" applyAlignment="1">
      <alignment horizontal="center" vertical="center"/>
    </xf>
    <xf numFmtId="0" fontId="54" fillId="0" borderId="1" xfId="188" applyFont="1" applyBorder="1" applyAlignment="1">
      <alignment horizontal="center" vertical="center"/>
    </xf>
    <xf numFmtId="9" fontId="54" fillId="0" borderId="23" xfId="188" applyNumberFormat="1" applyFont="1" applyBorder="1" applyAlignment="1">
      <alignment horizontal="center" vertical="center" wrapText="1"/>
    </xf>
    <xf numFmtId="167" fontId="54" fillId="0" borderId="23" xfId="4" applyNumberFormat="1" applyFont="1" applyBorder="1" applyAlignment="1" applyProtection="1">
      <alignment horizontal="center" vertical="center" wrapText="1"/>
      <protection locked="0"/>
    </xf>
    <xf numFmtId="0" fontId="54" fillId="0" borderId="0" xfId="0" applyFont="1" applyAlignment="1">
      <alignment vertical="center" wrapText="1"/>
    </xf>
    <xf numFmtId="0" fontId="75" fillId="0" borderId="23" xfId="4" applyFont="1" applyBorder="1" applyAlignment="1">
      <alignment horizontal="left" vertical="center" wrapText="1"/>
    </xf>
    <xf numFmtId="1" fontId="44" fillId="0" borderId="23" xfId="183" applyNumberFormat="1" applyFont="1" applyBorder="1" applyAlignment="1">
      <alignment horizontal="center" vertical="center" wrapText="1"/>
    </xf>
    <xf numFmtId="14" fontId="44" fillId="0" borderId="23" xfId="4" applyNumberFormat="1" applyFont="1" applyBorder="1" applyAlignment="1" applyProtection="1">
      <alignment horizontal="center" vertical="center" wrapText="1"/>
      <protection locked="0"/>
    </xf>
    <xf numFmtId="0" fontId="46" fillId="8" borderId="23" xfId="4" applyFont="1" applyFill="1" applyBorder="1" applyAlignment="1">
      <alignment horizontal="center" vertical="center" wrapText="1"/>
    </xf>
    <xf numFmtId="1" fontId="46" fillId="0" borderId="23" xfId="0" applyNumberFormat="1" applyFont="1" applyBorder="1" applyAlignment="1">
      <alignment horizontal="center" vertical="center" wrapText="1"/>
    </xf>
    <xf numFmtId="14" fontId="120" fillId="26" borderId="24" xfId="0" applyNumberFormat="1" applyFont="1" applyFill="1" applyBorder="1" applyAlignment="1">
      <alignment vertical="center" wrapText="1"/>
    </xf>
    <xf numFmtId="1" fontId="46" fillId="8" borderId="23" xfId="0" applyNumberFormat="1" applyFont="1" applyFill="1" applyBorder="1" applyAlignment="1">
      <alignment horizontal="center" vertical="center" wrapText="1"/>
    </xf>
    <xf numFmtId="14" fontId="46" fillId="8" borderId="23" xfId="4" applyNumberFormat="1" applyFont="1" applyFill="1" applyBorder="1" applyAlignment="1" applyProtection="1">
      <alignment horizontal="center" vertical="center" wrapText="1"/>
      <protection locked="0"/>
    </xf>
    <xf numFmtId="14" fontId="120" fillId="26" borderId="10" xfId="0" applyNumberFormat="1" applyFont="1" applyFill="1" applyBorder="1" applyAlignment="1">
      <alignment vertical="center" wrapText="1"/>
    </xf>
    <xf numFmtId="0" fontId="54" fillId="0" borderId="23" xfId="0" applyFont="1" applyBorder="1" applyAlignment="1">
      <alignment vertical="center" wrapText="1"/>
    </xf>
    <xf numFmtId="0" fontId="92" fillId="0" borderId="13" xfId="0" applyFont="1" applyBorder="1" applyAlignment="1">
      <alignment vertical="center" wrapText="1"/>
    </xf>
    <xf numFmtId="14" fontId="120" fillId="0" borderId="10" xfId="0" applyNumberFormat="1" applyFont="1" applyBorder="1" applyAlignment="1">
      <alignment vertical="center" wrapText="1"/>
    </xf>
    <xf numFmtId="9" fontId="49" fillId="0" borderId="23" xfId="4" applyNumberFormat="1" applyFont="1" applyBorder="1" applyAlignment="1">
      <alignment horizontal="center" vertical="center" wrapText="1"/>
    </xf>
    <xf numFmtId="9" fontId="50" fillId="0" borderId="23" xfId="190" applyFont="1" applyFill="1" applyBorder="1" applyAlignment="1">
      <alignment horizontal="center" vertical="center"/>
    </xf>
    <xf numFmtId="0" fontId="49" fillId="0" borderId="0" xfId="0" applyFont="1" applyAlignment="1">
      <alignment horizontal="center" vertical="center"/>
    </xf>
    <xf numFmtId="0" fontId="120" fillId="0" borderId="10" xfId="0" applyFont="1" applyBorder="1" applyAlignment="1">
      <alignment vertical="center" wrapText="1"/>
    </xf>
    <xf numFmtId="14" fontId="121" fillId="0" borderId="10" xfId="0" applyNumberFormat="1" applyFont="1" applyBorder="1" applyAlignment="1">
      <alignment vertical="center" wrapText="1"/>
    </xf>
    <xf numFmtId="14" fontId="120" fillId="0" borderId="24" xfId="0" applyNumberFormat="1" applyFont="1" applyBorder="1" applyAlignment="1">
      <alignment vertical="center" wrapText="1"/>
    </xf>
    <xf numFmtId="10" fontId="64" fillId="37" borderId="25" xfId="0" applyNumberFormat="1" applyFont="1" applyFill="1" applyBorder="1" applyAlignment="1">
      <alignment horizontal="center" vertical="center" wrapText="1"/>
    </xf>
    <xf numFmtId="10" fontId="64" fillId="37" borderId="24" xfId="0" applyNumberFormat="1" applyFont="1" applyFill="1" applyBorder="1" applyAlignment="1">
      <alignment horizontal="center" vertical="center" wrapText="1"/>
    </xf>
    <xf numFmtId="0" fontId="64" fillId="37" borderId="13" xfId="0" applyFont="1" applyFill="1" applyBorder="1" applyAlignment="1">
      <alignment horizontal="center" vertical="center" wrapText="1"/>
    </xf>
    <xf numFmtId="0" fontId="44" fillId="27" borderId="25" xfId="166" applyFont="1" applyFill="1" applyBorder="1" applyAlignment="1" applyProtection="1">
      <alignment horizontal="center" vertical="center"/>
      <protection locked="0"/>
    </xf>
    <xf numFmtId="0" fontId="44" fillId="27" borderId="29" xfId="166" applyFont="1" applyFill="1" applyBorder="1" applyAlignment="1" applyProtection="1">
      <alignment horizontal="center" vertical="center"/>
      <protection locked="0"/>
    </xf>
    <xf numFmtId="0" fontId="44" fillId="27" borderId="24" xfId="166" applyFont="1" applyFill="1" applyBorder="1" applyAlignment="1" applyProtection="1">
      <alignment horizontal="center" vertical="center"/>
      <protection locked="0"/>
    </xf>
    <xf numFmtId="0" fontId="44" fillId="28" borderId="25" xfId="166" applyFont="1" applyFill="1" applyBorder="1" applyAlignment="1" applyProtection="1">
      <alignment horizontal="center" vertical="center"/>
      <protection locked="0"/>
    </xf>
    <xf numFmtId="0" fontId="44" fillId="28" borderId="29" xfId="166" applyFont="1" applyFill="1" applyBorder="1" applyAlignment="1" applyProtection="1">
      <alignment horizontal="center" vertical="center"/>
      <protection locked="0"/>
    </xf>
    <xf numFmtId="0" fontId="44" fillId="28" borderId="24" xfId="166" applyFont="1" applyFill="1" applyBorder="1" applyAlignment="1" applyProtection="1">
      <alignment horizontal="center" vertical="center"/>
      <protection locked="0"/>
    </xf>
    <xf numFmtId="0" fontId="44" fillId="29" borderId="25" xfId="166" applyFont="1" applyFill="1" applyBorder="1" applyAlignment="1" applyProtection="1">
      <alignment horizontal="center" vertical="center"/>
      <protection locked="0"/>
    </xf>
    <xf numFmtId="0" fontId="44" fillId="29" borderId="29" xfId="166" applyFont="1" applyFill="1" applyBorder="1" applyAlignment="1" applyProtection="1">
      <alignment horizontal="center" vertical="center"/>
      <protection locked="0"/>
    </xf>
    <xf numFmtId="0" fontId="44" fillId="29" borderId="24" xfId="166" applyFont="1" applyFill="1" applyBorder="1" applyAlignment="1" applyProtection="1">
      <alignment horizontal="center" vertical="center"/>
      <protection locked="0"/>
    </xf>
    <xf numFmtId="0" fontId="44" fillId="20" borderId="23" xfId="0" applyFont="1" applyFill="1" applyBorder="1" applyAlignment="1" applyProtection="1">
      <alignment horizontal="center" vertical="center" wrapText="1"/>
      <protection locked="0"/>
    </xf>
    <xf numFmtId="0" fontId="44" fillId="8" borderId="23" xfId="0" applyFont="1" applyFill="1" applyBorder="1" applyAlignment="1" applyProtection="1">
      <alignment horizontal="center" vertical="center" wrapText="1"/>
      <protection locked="0"/>
    </xf>
    <xf numFmtId="0" fontId="44" fillId="20" borderId="23" xfId="0" applyFont="1" applyFill="1" applyBorder="1" applyAlignment="1" applyProtection="1">
      <alignment horizontal="center" vertical="center"/>
      <protection locked="0"/>
    </xf>
    <xf numFmtId="14" fontId="44" fillId="8" borderId="23" xfId="0" applyNumberFormat="1" applyFont="1" applyFill="1" applyBorder="1" applyAlignment="1" applyProtection="1">
      <alignment horizontal="center" vertical="center" wrapText="1"/>
      <protection locked="0"/>
    </xf>
    <xf numFmtId="0" fontId="44" fillId="8" borderId="23" xfId="166" applyFont="1" applyFill="1" applyBorder="1" applyAlignment="1" applyProtection="1">
      <alignment horizontal="center" vertical="center" wrapText="1"/>
      <protection locked="0"/>
    </xf>
    <xf numFmtId="0" fontId="67" fillId="8" borderId="23" xfId="0" applyFont="1" applyFill="1" applyBorder="1" applyAlignment="1" applyProtection="1">
      <alignment horizontal="center" vertical="center" wrapText="1"/>
      <protection locked="0"/>
    </xf>
    <xf numFmtId="165" fontId="54" fillId="8" borderId="25" xfId="172" applyNumberFormat="1" applyFont="1" applyFill="1" applyBorder="1" applyAlignment="1">
      <alignment horizontal="center" vertical="center" wrapText="1"/>
    </xf>
    <xf numFmtId="165" fontId="54" fillId="8" borderId="29" xfId="172" applyNumberFormat="1" applyFont="1" applyFill="1" applyBorder="1" applyAlignment="1">
      <alignment horizontal="center" vertical="center" wrapText="1"/>
    </xf>
    <xf numFmtId="165" fontId="54" fillId="8" borderId="24" xfId="172" applyNumberFormat="1" applyFont="1" applyFill="1" applyBorder="1" applyAlignment="1">
      <alignment horizontal="center" vertical="center" wrapText="1"/>
    </xf>
    <xf numFmtId="0" fontId="44" fillId="20" borderId="25" xfId="174" applyFont="1" applyFill="1" applyBorder="1" applyAlignment="1" applyProtection="1">
      <alignment horizontal="center" vertical="center" wrapText="1"/>
      <protection locked="0"/>
    </xf>
    <xf numFmtId="0" fontId="44" fillId="20" borderId="24" xfId="174" applyFont="1" applyFill="1" applyBorder="1" applyAlignment="1" applyProtection="1">
      <alignment horizontal="center" vertical="center" wrapText="1"/>
      <protection locked="0"/>
    </xf>
    <xf numFmtId="0" fontId="44" fillId="8" borderId="25" xfId="174" applyFont="1" applyFill="1" applyBorder="1" applyAlignment="1" applyProtection="1">
      <alignment horizontal="center" vertical="center" wrapText="1"/>
      <protection locked="0"/>
    </xf>
    <xf numFmtId="0" fontId="44" fillId="8" borderId="24" xfId="174" applyFont="1" applyFill="1" applyBorder="1" applyAlignment="1" applyProtection="1">
      <alignment horizontal="center" vertical="center" wrapText="1"/>
      <protection locked="0"/>
    </xf>
    <xf numFmtId="0" fontId="44" fillId="8" borderId="29" xfId="174" applyFont="1" applyFill="1" applyBorder="1" applyAlignment="1" applyProtection="1">
      <alignment horizontal="center" vertical="center" wrapText="1"/>
      <protection locked="0"/>
    </xf>
    <xf numFmtId="14" fontId="44" fillId="8" borderId="25" xfId="174" applyNumberFormat="1" applyFont="1" applyFill="1" applyBorder="1" applyAlignment="1" applyProtection="1">
      <alignment horizontal="center" vertical="center" wrapText="1"/>
      <protection locked="0"/>
    </xf>
    <xf numFmtId="14" fontId="44" fillId="8" borderId="29" xfId="174" applyNumberFormat="1" applyFont="1" applyFill="1" applyBorder="1" applyAlignment="1" applyProtection="1">
      <alignment horizontal="center" vertical="center" wrapText="1"/>
      <protection locked="0"/>
    </xf>
    <xf numFmtId="14" fontId="44" fillId="8" borderId="24" xfId="174" applyNumberFormat="1" applyFont="1" applyFill="1" applyBorder="1" applyAlignment="1" applyProtection="1">
      <alignment horizontal="center" vertical="center" wrapText="1"/>
      <protection locked="0"/>
    </xf>
    <xf numFmtId="0" fontId="44" fillId="8" borderId="16" xfId="174" applyFont="1" applyFill="1" applyBorder="1" applyAlignment="1" applyProtection="1">
      <alignment horizontal="center" vertical="center" wrapText="1"/>
      <protection locked="0"/>
    </xf>
    <xf numFmtId="0" fontId="44" fillId="8" borderId="18" xfId="174" applyFont="1" applyFill="1" applyBorder="1" applyAlignment="1" applyProtection="1">
      <alignment horizontal="center" vertical="center" wrapText="1"/>
      <protection locked="0"/>
    </xf>
    <xf numFmtId="0" fontId="44" fillId="8" borderId="12" xfId="174" applyFont="1" applyFill="1" applyBorder="1" applyAlignment="1" applyProtection="1">
      <alignment horizontal="center" vertical="center" wrapText="1"/>
      <protection locked="0"/>
    </xf>
    <xf numFmtId="0" fontId="44" fillId="8" borderId="10" xfId="174" applyFont="1" applyFill="1" applyBorder="1" applyAlignment="1" applyProtection="1">
      <alignment horizontal="center" vertical="center" wrapText="1"/>
      <protection locked="0"/>
    </xf>
    <xf numFmtId="0" fontId="44" fillId="8" borderId="17" xfId="174" applyFont="1" applyFill="1" applyBorder="1" applyAlignment="1" applyProtection="1">
      <alignment horizontal="center" vertical="center" wrapText="1"/>
      <protection locked="0"/>
    </xf>
    <xf numFmtId="0" fontId="44" fillId="8" borderId="9" xfId="174" applyFont="1" applyFill="1" applyBorder="1" applyAlignment="1" applyProtection="1">
      <alignment horizontal="center" vertical="center" wrapText="1"/>
      <protection locked="0"/>
    </xf>
    <xf numFmtId="0" fontId="44" fillId="8" borderId="0" xfId="174" applyFont="1" applyFill="1" applyAlignment="1" applyProtection="1">
      <alignment horizontal="center" vertical="center" wrapText="1"/>
      <protection locked="0"/>
    </xf>
    <xf numFmtId="0" fontId="44" fillId="8" borderId="14" xfId="174" applyFont="1" applyFill="1" applyBorder="1" applyAlignment="1" applyProtection="1">
      <alignment horizontal="center" vertical="center" wrapText="1"/>
      <protection locked="0"/>
    </xf>
    <xf numFmtId="0" fontId="44" fillId="8" borderId="11" xfId="174" applyFont="1" applyFill="1" applyBorder="1" applyAlignment="1" applyProtection="1">
      <alignment horizontal="center" vertical="center" wrapText="1"/>
      <protection locked="0"/>
    </xf>
    <xf numFmtId="0" fontId="44" fillId="20" borderId="65" xfId="174" applyFont="1" applyFill="1" applyBorder="1" applyAlignment="1" applyProtection="1">
      <alignment horizontal="center" vertical="center" wrapText="1"/>
      <protection locked="0"/>
    </xf>
    <xf numFmtId="14" fontId="44" fillId="8" borderId="16" xfId="174" applyNumberFormat="1" applyFont="1" applyFill="1" applyBorder="1" applyAlignment="1" applyProtection="1">
      <alignment horizontal="center" vertical="center"/>
      <protection locked="0"/>
    </xf>
    <xf numFmtId="14" fontId="44" fillId="8" borderId="17" xfId="174" applyNumberFormat="1" applyFont="1" applyFill="1" applyBorder="1" applyAlignment="1" applyProtection="1">
      <alignment horizontal="center" vertical="center"/>
      <protection locked="0"/>
    </xf>
    <xf numFmtId="14" fontId="44" fillId="8" borderId="18" xfId="174" applyNumberFormat="1" applyFont="1" applyFill="1" applyBorder="1" applyAlignment="1" applyProtection="1">
      <alignment horizontal="center" vertical="center"/>
      <protection locked="0"/>
    </xf>
    <xf numFmtId="0" fontId="46" fillId="8" borderId="59" xfId="174" applyFont="1" applyFill="1" applyBorder="1" applyAlignment="1" applyProtection="1">
      <alignment horizontal="center" vertical="center" wrapText="1"/>
      <protection locked="0"/>
    </xf>
    <xf numFmtId="0" fontId="46" fillId="8" borderId="60" xfId="174" applyFont="1" applyFill="1" applyBorder="1" applyAlignment="1" applyProtection="1">
      <alignment horizontal="center" vertical="center" wrapText="1"/>
      <protection locked="0"/>
    </xf>
    <xf numFmtId="0" fontId="46" fillId="8" borderId="64" xfId="174" applyFont="1" applyFill="1" applyBorder="1" applyAlignment="1" applyProtection="1">
      <alignment horizontal="center" vertical="center" wrapText="1"/>
      <protection locked="0"/>
    </xf>
    <xf numFmtId="0" fontId="44" fillId="20" borderId="62" xfId="174" applyFont="1" applyFill="1" applyBorder="1" applyAlignment="1" applyProtection="1">
      <alignment horizontal="center" vertical="center" wrapText="1"/>
      <protection locked="0"/>
    </xf>
    <xf numFmtId="0" fontId="44" fillId="20" borderId="63" xfId="174" applyFont="1" applyFill="1" applyBorder="1" applyAlignment="1" applyProtection="1">
      <alignment horizontal="center" vertical="center" wrapText="1"/>
      <protection locked="0"/>
    </xf>
    <xf numFmtId="0" fontId="64" fillId="7" borderId="23" xfId="178" applyFont="1" applyFill="1" applyBorder="1" applyAlignment="1">
      <alignment horizontal="center" vertical="center" wrapText="1"/>
    </xf>
    <xf numFmtId="0" fontId="44" fillId="22" borderId="12" xfId="174" applyFont="1" applyFill="1" applyBorder="1" applyAlignment="1" applyProtection="1">
      <alignment horizontal="center" vertical="center" wrapText="1"/>
      <protection locked="0"/>
    </xf>
    <xf numFmtId="0" fontId="44" fillId="22" borderId="11" xfId="174" applyFont="1" applyFill="1" applyBorder="1" applyAlignment="1" applyProtection="1">
      <alignment horizontal="center" vertical="center" wrapText="1"/>
      <protection locked="0"/>
    </xf>
    <xf numFmtId="0" fontId="44" fillId="22" borderId="10" xfId="174" applyFont="1" applyFill="1" applyBorder="1" applyAlignment="1" applyProtection="1">
      <alignment horizontal="center" vertical="center" wrapText="1"/>
      <protection locked="0"/>
    </xf>
    <xf numFmtId="0" fontId="44" fillId="23" borderId="25" xfId="174" applyFont="1" applyFill="1" applyBorder="1" applyAlignment="1" applyProtection="1">
      <alignment horizontal="center" vertical="center" wrapText="1"/>
      <protection locked="0"/>
    </xf>
    <xf numFmtId="0" fontId="44" fillId="23" borderId="29" xfId="174" applyFont="1" applyFill="1" applyBorder="1" applyAlignment="1" applyProtection="1">
      <alignment horizontal="center" vertical="center" wrapText="1"/>
      <protection locked="0"/>
    </xf>
    <xf numFmtId="0" fontId="44" fillId="23" borderId="24" xfId="174" applyFont="1" applyFill="1" applyBorder="1" applyAlignment="1" applyProtection="1">
      <alignment horizontal="center" vertical="center" wrapText="1"/>
      <protection locked="0"/>
    </xf>
    <xf numFmtId="0" fontId="44" fillId="13" borderId="25" xfId="174" applyFont="1" applyFill="1" applyBorder="1" applyAlignment="1" applyProtection="1">
      <alignment horizontal="center" vertical="center" wrapText="1"/>
      <protection locked="0"/>
    </xf>
    <xf numFmtId="0" fontId="44" fillId="13" borderId="29" xfId="174" applyFont="1" applyFill="1" applyBorder="1" applyAlignment="1" applyProtection="1">
      <alignment horizontal="center" vertical="center" wrapText="1"/>
      <protection locked="0"/>
    </xf>
    <xf numFmtId="0" fontId="44" fillId="13" borderId="24" xfId="174" applyFont="1" applyFill="1" applyBorder="1" applyAlignment="1" applyProtection="1">
      <alignment horizontal="center" vertical="center" wrapText="1"/>
      <protection locked="0"/>
    </xf>
    <xf numFmtId="14" fontId="44" fillId="8" borderId="25" xfId="0" applyNumberFormat="1" applyFont="1" applyFill="1" applyBorder="1" applyAlignment="1" applyProtection="1">
      <alignment horizontal="center" vertical="center" wrapText="1"/>
      <protection locked="0"/>
    </xf>
    <xf numFmtId="14" fontId="44" fillId="8" borderId="29" xfId="0" applyNumberFormat="1" applyFont="1" applyFill="1" applyBorder="1" applyAlignment="1" applyProtection="1">
      <alignment horizontal="center" vertical="center" wrapText="1"/>
      <protection locked="0"/>
    </xf>
    <xf numFmtId="14" fontId="44" fillId="8" borderId="24" xfId="0" applyNumberFormat="1" applyFont="1" applyFill="1" applyBorder="1" applyAlignment="1" applyProtection="1">
      <alignment horizontal="center" vertical="center" wrapText="1"/>
      <protection locked="0"/>
    </xf>
    <xf numFmtId="0" fontId="44" fillId="20" borderId="23" xfId="166" applyFont="1" applyFill="1" applyBorder="1" applyAlignment="1" applyProtection="1">
      <alignment horizontal="center" vertical="center" wrapText="1"/>
      <protection locked="0"/>
    </xf>
    <xf numFmtId="0" fontId="46" fillId="8" borderId="23" xfId="166" applyFont="1" applyFill="1" applyBorder="1" applyAlignment="1" applyProtection="1">
      <alignment horizontal="center" vertical="center" wrapText="1"/>
      <protection locked="0"/>
    </xf>
    <xf numFmtId="0" fontId="44" fillId="20" borderId="23" xfId="166" applyFont="1" applyFill="1" applyBorder="1" applyAlignment="1" applyProtection="1">
      <alignment horizontal="center" vertical="center"/>
      <protection locked="0"/>
    </xf>
    <xf numFmtId="14" fontId="44" fillId="8" borderId="23" xfId="166" applyNumberFormat="1" applyFont="1" applyFill="1" applyBorder="1" applyAlignment="1" applyProtection="1">
      <alignment horizontal="center" vertical="center" wrapText="1"/>
      <protection locked="0"/>
    </xf>
    <xf numFmtId="0" fontId="67" fillId="8" borderId="23" xfId="166" applyFont="1" applyFill="1" applyBorder="1" applyAlignment="1" applyProtection="1">
      <alignment horizontal="center" vertical="center" wrapText="1"/>
      <protection locked="0"/>
    </xf>
    <xf numFmtId="0" fontId="64" fillId="7" borderId="13" xfId="178" applyFont="1" applyFill="1" applyBorder="1" applyAlignment="1">
      <alignment horizontal="center" vertical="center" wrapText="1"/>
    </xf>
    <xf numFmtId="0" fontId="44" fillId="8" borderId="16" xfId="166" applyFont="1" applyFill="1" applyBorder="1" applyAlignment="1" applyProtection="1">
      <alignment horizontal="center" vertical="center" wrapText="1"/>
      <protection locked="0"/>
    </xf>
    <xf numFmtId="0" fontId="44" fillId="8" borderId="17" xfId="166" applyFont="1" applyFill="1" applyBorder="1" applyAlignment="1" applyProtection="1">
      <alignment horizontal="center" vertical="center" wrapText="1"/>
      <protection locked="0"/>
    </xf>
    <xf numFmtId="0" fontId="44" fillId="8" borderId="18" xfId="166" applyFont="1" applyFill="1" applyBorder="1" applyAlignment="1" applyProtection="1">
      <alignment horizontal="center" vertical="center" wrapText="1"/>
      <protection locked="0"/>
    </xf>
    <xf numFmtId="0" fontId="44" fillId="8" borderId="9" xfId="166" applyFont="1" applyFill="1" applyBorder="1" applyAlignment="1" applyProtection="1">
      <alignment horizontal="center" vertical="center" wrapText="1"/>
      <protection locked="0"/>
    </xf>
    <xf numFmtId="0" fontId="44" fillId="8" borderId="0" xfId="166" applyFont="1" applyFill="1" applyAlignment="1" applyProtection="1">
      <alignment horizontal="center" vertical="center" wrapText="1"/>
      <protection locked="0"/>
    </xf>
    <xf numFmtId="0" fontId="44" fillId="8" borderId="14" xfId="166" applyFont="1" applyFill="1" applyBorder="1" applyAlignment="1" applyProtection="1">
      <alignment horizontal="center" vertical="center" wrapText="1"/>
      <protection locked="0"/>
    </xf>
    <xf numFmtId="0" fontId="44" fillId="8" borderId="12" xfId="166" applyFont="1" applyFill="1" applyBorder="1" applyAlignment="1" applyProtection="1">
      <alignment horizontal="center" vertical="center" wrapText="1"/>
      <protection locked="0"/>
    </xf>
    <xf numFmtId="0" fontId="44" fillId="8" borderId="11" xfId="166" applyFont="1" applyFill="1" applyBorder="1" applyAlignment="1" applyProtection="1">
      <alignment horizontal="center" vertical="center" wrapText="1"/>
      <protection locked="0"/>
    </xf>
    <xf numFmtId="0" fontId="44" fillId="8" borderId="10" xfId="166" applyFont="1" applyFill="1" applyBorder="1" applyAlignment="1" applyProtection="1">
      <alignment horizontal="center" vertical="center" wrapText="1"/>
      <protection locked="0"/>
    </xf>
    <xf numFmtId="0" fontId="83" fillId="8" borderId="23" xfId="166" applyFont="1" applyFill="1" applyBorder="1" applyAlignment="1" applyProtection="1">
      <alignment horizontal="center" vertical="center" wrapText="1"/>
      <protection locked="0"/>
    </xf>
    <xf numFmtId="14" fontId="83" fillId="8" borderId="23" xfId="166" applyNumberFormat="1" applyFont="1" applyFill="1" applyBorder="1" applyAlignment="1" applyProtection="1">
      <alignment horizontal="center" vertical="center" wrapText="1"/>
      <protection locked="0"/>
    </xf>
    <xf numFmtId="0" fontId="64" fillId="7" borderId="23" xfId="178" applyFont="1" applyFill="1" applyBorder="1" applyAlignment="1">
      <alignment horizontal="center" vertical="center"/>
    </xf>
    <xf numFmtId="0" fontId="74" fillId="7" borderId="17" xfId="178" applyFont="1" applyFill="1" applyBorder="1" applyAlignment="1">
      <alignment horizontal="center" vertical="center"/>
    </xf>
    <xf numFmtId="0" fontId="74" fillId="7" borderId="28" xfId="178" applyFont="1" applyFill="1" applyBorder="1" applyAlignment="1">
      <alignment horizontal="center" vertical="center"/>
    </xf>
    <xf numFmtId="0" fontId="40" fillId="20" borderId="23" xfId="166" applyFont="1" applyFill="1" applyBorder="1" applyAlignment="1" applyProtection="1">
      <alignment horizontal="center" vertical="center" wrapText="1"/>
      <protection locked="0"/>
    </xf>
    <xf numFmtId="0" fontId="40" fillId="8" borderId="23" xfId="166" applyFont="1" applyFill="1" applyBorder="1" applyAlignment="1" applyProtection="1">
      <alignment horizontal="center" vertical="center" wrapText="1"/>
      <protection locked="0"/>
    </xf>
    <xf numFmtId="0" fontId="39" fillId="20" borderId="23" xfId="166" applyFont="1" applyFill="1" applyBorder="1" applyAlignment="1" applyProtection="1">
      <alignment horizontal="center" vertical="center"/>
      <protection locked="0"/>
    </xf>
    <xf numFmtId="0" fontId="41" fillId="8" borderId="23" xfId="166" applyFont="1" applyFill="1" applyBorder="1" applyAlignment="1" applyProtection="1">
      <alignment horizontal="center" vertical="center" wrapText="1"/>
      <protection locked="0"/>
    </xf>
    <xf numFmtId="14" fontId="40" fillId="8" borderId="23" xfId="166" applyNumberFormat="1" applyFont="1" applyFill="1" applyBorder="1" applyAlignment="1" applyProtection="1">
      <alignment horizontal="center" vertical="center" wrapText="1"/>
      <protection locked="0"/>
    </xf>
    <xf numFmtId="0" fontId="59" fillId="8" borderId="23" xfId="166" applyFont="1" applyFill="1" applyBorder="1" applyAlignment="1" applyProtection="1">
      <alignment horizontal="center" vertical="center" wrapText="1"/>
      <protection locked="0"/>
    </xf>
    <xf numFmtId="0" fontId="57" fillId="8" borderId="23" xfId="166" applyFont="1" applyFill="1" applyBorder="1" applyAlignment="1" applyProtection="1">
      <alignment horizontal="center" vertical="center" wrapText="1"/>
      <protection locked="0"/>
    </xf>
    <xf numFmtId="0" fontId="64" fillId="7" borderId="23" xfId="172" applyFont="1" applyFill="1" applyBorder="1" applyAlignment="1">
      <alignment horizontal="center" vertical="center"/>
    </xf>
    <xf numFmtId="1" fontId="50" fillId="8" borderId="26" xfId="166" applyNumberFormat="1" applyFont="1" applyFill="1" applyBorder="1" applyAlignment="1">
      <alignment horizontal="center" vertical="center"/>
    </xf>
    <xf numFmtId="1" fontId="50" fillId="8" borderId="13" xfId="166" applyNumberFormat="1" applyFont="1" applyFill="1" applyBorder="1" applyAlignment="1">
      <alignment horizontal="center" vertical="center"/>
    </xf>
    <xf numFmtId="1" fontId="50" fillId="0" borderId="23" xfId="168" applyNumberFormat="1" applyFont="1" applyBorder="1" applyAlignment="1">
      <alignment horizontal="center" vertical="center"/>
    </xf>
    <xf numFmtId="166" fontId="49" fillId="8" borderId="23" xfId="173" applyNumberFormat="1" applyFont="1" applyFill="1" applyBorder="1" applyAlignment="1">
      <alignment horizontal="center" vertical="center" wrapText="1"/>
    </xf>
    <xf numFmtId="165" fontId="49" fillId="0" borderId="23" xfId="4" applyNumberFormat="1" applyFont="1" applyBorder="1" applyAlignment="1">
      <alignment horizontal="center" vertical="center" wrapText="1"/>
    </xf>
    <xf numFmtId="1" fontId="50" fillId="0" borderId="23" xfId="166" applyNumberFormat="1" applyFont="1" applyBorder="1" applyAlignment="1">
      <alignment horizontal="center" vertical="center"/>
    </xf>
    <xf numFmtId="14" fontId="49" fillId="0" borderId="25" xfId="4" applyNumberFormat="1" applyFont="1" applyBorder="1" applyAlignment="1">
      <alignment horizontal="center" vertical="center"/>
    </xf>
    <xf numFmtId="165" fontId="49" fillId="0" borderId="23" xfId="173" applyNumberFormat="1" applyFont="1" applyBorder="1" applyAlignment="1">
      <alignment horizontal="center" vertical="center" wrapText="1"/>
    </xf>
    <xf numFmtId="0" fontId="49" fillId="0" borderId="26" xfId="4" applyFont="1" applyBorder="1" applyAlignment="1">
      <alignment horizontal="center" vertical="center" wrapText="1"/>
    </xf>
    <xf numFmtId="0" fontId="49" fillId="0" borderId="13" xfId="4" applyFont="1" applyBorder="1" applyAlignment="1">
      <alignment horizontal="center" vertical="center" wrapText="1"/>
    </xf>
    <xf numFmtId="0" fontId="49" fillId="0" borderId="26" xfId="1" applyFont="1" applyFill="1" applyBorder="1" applyAlignment="1" applyProtection="1">
      <alignment horizontal="center" vertical="center" wrapText="1"/>
      <protection locked="0"/>
    </xf>
    <xf numFmtId="0" fontId="49" fillId="0" borderId="13" xfId="1" applyFont="1" applyFill="1" applyBorder="1" applyAlignment="1" applyProtection="1">
      <alignment horizontal="center" vertical="center" wrapText="1"/>
      <protection locked="0"/>
    </xf>
    <xf numFmtId="0" fontId="46" fillId="0" borderId="1" xfId="166" applyFont="1" applyBorder="1" applyAlignment="1" applyProtection="1">
      <alignment horizontal="center" vertical="center" wrapText="1"/>
      <protection locked="0"/>
    </xf>
    <xf numFmtId="9" fontId="49" fillId="8" borderId="23" xfId="4" applyNumberFormat="1" applyFont="1" applyFill="1" applyBorder="1" applyAlignment="1">
      <alignment horizontal="center" vertical="center" wrapText="1"/>
    </xf>
    <xf numFmtId="9" fontId="49" fillId="0" borderId="23" xfId="170" applyFont="1" applyBorder="1" applyAlignment="1">
      <alignment horizontal="center" vertical="center" wrapText="1"/>
    </xf>
    <xf numFmtId="9" fontId="49" fillId="0" borderId="23" xfId="166" applyNumberFormat="1" applyFont="1" applyBorder="1" applyAlignment="1" applyProtection="1">
      <alignment horizontal="center" vertical="center"/>
      <protection locked="0"/>
    </xf>
    <xf numFmtId="9" fontId="49" fillId="2" borderId="23" xfId="172" applyNumberFormat="1" applyFont="1" applyFill="1" applyBorder="1" applyAlignment="1">
      <alignment horizontal="center" vertical="center"/>
    </xf>
    <xf numFmtId="9" fontId="50" fillId="2" borderId="23" xfId="168" applyNumberFormat="1" applyFont="1" applyFill="1" applyBorder="1" applyAlignment="1">
      <alignment horizontal="center" vertical="center"/>
    </xf>
    <xf numFmtId="0" fontId="49" fillId="0" borderId="23" xfId="4" applyFont="1" applyBorder="1" applyAlignment="1">
      <alignment horizontal="center" vertical="center" wrapText="1"/>
    </xf>
    <xf numFmtId="0" fontId="54" fillId="8" borderId="23" xfId="173" applyFont="1" applyFill="1" applyBorder="1" applyAlignment="1">
      <alignment horizontal="center" vertical="center" wrapText="1"/>
    </xf>
    <xf numFmtId="9" fontId="49" fillId="2" borderId="24" xfId="172" applyNumberFormat="1" applyFont="1" applyFill="1" applyBorder="1" applyAlignment="1">
      <alignment horizontal="center" vertical="center"/>
    </xf>
    <xf numFmtId="0" fontId="54" fillId="0" borderId="25" xfId="166" applyFont="1" applyBorder="1" applyAlignment="1">
      <alignment horizontal="center" vertical="center" wrapText="1"/>
    </xf>
    <xf numFmtId="9" fontId="50" fillId="0" borderId="23" xfId="170" applyFont="1" applyBorder="1" applyAlignment="1">
      <alignment horizontal="center" vertical="center"/>
    </xf>
    <xf numFmtId="0" fontId="49" fillId="0" borderId="25" xfId="4" applyFont="1" applyBorder="1" applyAlignment="1">
      <alignment horizontal="center" vertical="center" wrapText="1"/>
    </xf>
    <xf numFmtId="1" fontId="49" fillId="0" borderId="23" xfId="173" applyNumberFormat="1" applyFont="1" applyBorder="1" applyAlignment="1">
      <alignment horizontal="center" vertical="center" wrapText="1"/>
    </xf>
    <xf numFmtId="0" fontId="49" fillId="0" borderId="23" xfId="166" applyFont="1" applyBorder="1" applyAlignment="1" applyProtection="1">
      <alignment horizontal="center" vertical="center" wrapText="1"/>
      <protection locked="0"/>
    </xf>
    <xf numFmtId="0" fontId="49" fillId="0" borderId="23" xfId="166" applyFont="1" applyBorder="1" applyAlignment="1" applyProtection="1">
      <alignment horizontal="center" vertical="center"/>
      <protection locked="0"/>
    </xf>
    <xf numFmtId="0" fontId="64" fillId="7" borderId="17" xfId="172" applyFont="1" applyFill="1" applyBorder="1" applyAlignment="1">
      <alignment horizontal="center" vertical="center"/>
    </xf>
    <xf numFmtId="0" fontId="64" fillId="7" borderId="28" xfId="172" applyFont="1" applyFill="1" applyBorder="1" applyAlignment="1">
      <alignment horizontal="center" vertical="center"/>
    </xf>
    <xf numFmtId="0" fontId="64" fillId="7" borderId="18" xfId="172" applyFont="1" applyFill="1" applyBorder="1" applyAlignment="1">
      <alignment horizontal="center" vertical="center"/>
    </xf>
    <xf numFmtId="0" fontId="87" fillId="20" borderId="23" xfId="166" applyFont="1" applyFill="1" applyBorder="1" applyAlignment="1" applyProtection="1">
      <alignment horizontal="center" vertical="center" wrapText="1"/>
      <protection locked="0"/>
    </xf>
    <xf numFmtId="0" fontId="87" fillId="20" borderId="23" xfId="166" applyFont="1" applyFill="1" applyBorder="1" applyAlignment="1" applyProtection="1">
      <alignment horizontal="center" vertical="center"/>
      <protection locked="0"/>
    </xf>
    <xf numFmtId="0" fontId="87" fillId="8" borderId="23" xfId="166" applyFont="1" applyFill="1" applyBorder="1" applyAlignment="1" applyProtection="1">
      <alignment horizontal="center" vertical="center" wrapText="1"/>
      <protection locked="0"/>
    </xf>
    <xf numFmtId="0" fontId="87" fillId="8" borderId="23" xfId="166" applyFont="1" applyFill="1" applyBorder="1" applyAlignment="1" applyProtection="1">
      <alignment horizontal="center" vertical="center"/>
      <protection locked="0"/>
    </xf>
    <xf numFmtId="14" fontId="87" fillId="8" borderId="23" xfId="166" applyNumberFormat="1" applyFont="1" applyFill="1" applyBorder="1" applyAlignment="1" applyProtection="1">
      <alignment horizontal="center" vertical="center" wrapText="1"/>
      <protection locked="0"/>
    </xf>
    <xf numFmtId="0" fontId="88" fillId="8" borderId="23" xfId="166" applyFont="1" applyFill="1" applyBorder="1" applyAlignment="1" applyProtection="1">
      <alignment horizontal="center" vertical="center" wrapText="1"/>
      <protection locked="0"/>
    </xf>
    <xf numFmtId="0" fontId="64" fillId="7" borderId="25" xfId="178" applyFont="1" applyFill="1" applyBorder="1" applyAlignment="1">
      <alignment horizontal="center" vertical="center" wrapText="1"/>
    </xf>
    <xf numFmtId="0" fontId="64" fillId="7" borderId="27" xfId="178" applyFont="1" applyFill="1" applyBorder="1" applyAlignment="1">
      <alignment horizontal="center" vertical="center" wrapText="1"/>
    </xf>
    <xf numFmtId="0" fontId="44" fillId="8" borderId="23" xfId="174" applyFont="1" applyFill="1" applyBorder="1" applyAlignment="1" applyProtection="1">
      <alignment horizontal="center" vertical="center" wrapText="1"/>
      <protection locked="0"/>
    </xf>
    <xf numFmtId="0" fontId="44" fillId="20" borderId="23" xfId="174" applyFont="1" applyFill="1" applyBorder="1" applyAlignment="1" applyProtection="1">
      <alignment horizontal="center" vertical="center" wrapText="1"/>
      <protection locked="0"/>
    </xf>
    <xf numFmtId="14" fontId="44" fillId="8" borderId="23" xfId="174" applyNumberFormat="1" applyFont="1" applyFill="1" applyBorder="1" applyAlignment="1" applyProtection="1">
      <alignment horizontal="center" vertical="center" wrapText="1"/>
      <protection locked="0"/>
    </xf>
    <xf numFmtId="0" fontId="44" fillId="13" borderId="23" xfId="174" applyFont="1" applyFill="1" applyBorder="1" applyAlignment="1" applyProtection="1">
      <alignment horizontal="center" vertical="center" wrapText="1"/>
      <protection locked="0"/>
    </xf>
    <xf numFmtId="0" fontId="44" fillId="22" borderId="23" xfId="174" applyFont="1" applyFill="1" applyBorder="1" applyAlignment="1" applyProtection="1">
      <alignment horizontal="center" vertical="center" wrapText="1"/>
      <protection locked="0"/>
    </xf>
    <xf numFmtId="0" fontId="44" fillId="23" borderId="23" xfId="174" applyFont="1" applyFill="1" applyBorder="1" applyAlignment="1" applyProtection="1">
      <alignment horizontal="center" vertical="center" wrapText="1"/>
      <protection locked="0"/>
    </xf>
    <xf numFmtId="0" fontId="67" fillId="8" borderId="23" xfId="174" applyFont="1" applyFill="1" applyBorder="1" applyAlignment="1" applyProtection="1">
      <alignment horizontal="center" vertical="center" wrapText="1"/>
      <protection locked="0"/>
    </xf>
    <xf numFmtId="0" fontId="64" fillId="8" borderId="23" xfId="174" applyFont="1" applyFill="1" applyBorder="1" applyAlignment="1" applyProtection="1">
      <alignment horizontal="center" vertical="center" wrapText="1"/>
      <protection locked="0"/>
    </xf>
    <xf numFmtId="0" fontId="64" fillId="7" borderId="23" xfId="188" applyFont="1" applyFill="1" applyBorder="1" applyAlignment="1">
      <alignment horizontal="center" vertical="center"/>
    </xf>
    <xf numFmtId="0" fontId="44" fillId="8" borderId="23" xfId="0" applyFont="1" applyFill="1" applyBorder="1" applyAlignment="1" applyProtection="1">
      <alignment vertical="center" wrapText="1"/>
      <protection locked="0"/>
    </xf>
    <xf numFmtId="0" fontId="44" fillId="13" borderId="23" xfId="0" applyFont="1" applyFill="1" applyBorder="1" applyAlignment="1" applyProtection="1">
      <alignment horizontal="center" vertical="center"/>
      <protection locked="0"/>
    </xf>
    <xf numFmtId="0" fontId="44" fillId="22" borderId="23" xfId="0" applyFont="1" applyFill="1" applyBorder="1" applyAlignment="1" applyProtection="1">
      <alignment horizontal="center" vertical="center"/>
      <protection locked="0"/>
    </xf>
    <xf numFmtId="0" fontId="44" fillId="22" borderId="23" xfId="0" applyFont="1" applyFill="1" applyBorder="1" applyAlignment="1" applyProtection="1">
      <alignment vertical="center"/>
      <protection locked="0"/>
    </xf>
    <xf numFmtId="0" fontId="44" fillId="23" borderId="23" xfId="0" applyFont="1" applyFill="1" applyBorder="1" applyAlignment="1" applyProtection="1">
      <alignment horizontal="center" vertical="center"/>
      <protection locked="0"/>
    </xf>
    <xf numFmtId="0" fontId="44" fillId="20" borderId="23" xfId="0" applyFont="1" applyFill="1" applyBorder="1" applyAlignment="1" applyProtection="1">
      <alignment vertical="center"/>
      <protection locked="0"/>
    </xf>
    <xf numFmtId="0" fontId="64" fillId="7" borderId="23" xfId="188" applyFont="1" applyFill="1" applyBorder="1" applyAlignment="1">
      <alignment horizontal="center" vertical="center" wrapText="1"/>
    </xf>
    <xf numFmtId="0" fontId="44" fillId="13" borderId="23" xfId="0" applyFont="1" applyFill="1" applyBorder="1" applyAlignment="1" applyProtection="1">
      <alignment horizontal="center" vertical="center" wrapText="1"/>
      <protection locked="0"/>
    </xf>
    <xf numFmtId="0" fontId="44" fillId="22" borderId="23" xfId="0" applyFont="1" applyFill="1" applyBorder="1" applyAlignment="1" applyProtection="1">
      <alignment horizontal="center" vertical="center" wrapText="1"/>
      <protection locked="0"/>
    </xf>
    <xf numFmtId="0" fontId="44" fillId="23" borderId="23" xfId="0" applyFont="1" applyFill="1" applyBorder="1" applyAlignment="1" applyProtection="1">
      <alignment horizontal="center" vertical="center" wrapText="1"/>
      <protection locked="0"/>
    </xf>
    <xf numFmtId="0" fontId="75" fillId="0" borderId="33" xfId="0" applyFont="1" applyBorder="1" applyAlignment="1">
      <alignment horizontal="center" vertical="center" wrapText="1"/>
    </xf>
    <xf numFmtId="0" fontId="75" fillId="0" borderId="71" xfId="0" applyFont="1" applyBorder="1" applyAlignment="1">
      <alignment horizontal="center" vertical="center" wrapText="1"/>
    </xf>
    <xf numFmtId="0" fontId="54" fillId="0" borderId="72" xfId="1" applyFont="1" applyFill="1" applyBorder="1" applyAlignment="1" applyProtection="1">
      <alignment horizontal="center" vertical="center" wrapText="1"/>
      <protection locked="0"/>
    </xf>
    <xf numFmtId="0" fontId="54" fillId="0" borderId="73" xfId="1" applyFont="1" applyFill="1" applyBorder="1" applyAlignment="1" applyProtection="1">
      <alignment horizontal="center" vertical="center" wrapText="1"/>
      <protection locked="0"/>
    </xf>
    <xf numFmtId="0" fontId="75" fillId="0" borderId="74" xfId="0" applyFont="1" applyBorder="1" applyAlignment="1">
      <alignment horizontal="center" vertical="center" wrapText="1"/>
    </xf>
    <xf numFmtId="0" fontId="54" fillId="0" borderId="75" xfId="1" applyFont="1" applyFill="1" applyBorder="1" applyAlignment="1" applyProtection="1">
      <alignment horizontal="center" vertical="center" wrapText="1"/>
      <protection locked="0"/>
    </xf>
    <xf numFmtId="0" fontId="64" fillId="7" borderId="13" xfId="188" applyFont="1" applyFill="1" applyBorder="1" applyAlignment="1">
      <alignment horizontal="center" vertical="center" wrapText="1"/>
    </xf>
    <xf numFmtId="0" fontId="80" fillId="0" borderId="31" xfId="0" applyFont="1" applyBorder="1" applyAlignment="1">
      <alignment horizontal="center" vertical="center" wrapText="1" readingOrder="1"/>
    </xf>
    <xf numFmtId="0" fontId="80" fillId="0" borderId="34" xfId="0" applyFont="1" applyBorder="1" applyAlignment="1">
      <alignment horizontal="center" vertical="center" wrapText="1" readingOrder="1"/>
    </xf>
    <xf numFmtId="0" fontId="80" fillId="0" borderId="35" xfId="0" applyFont="1" applyBorder="1" applyAlignment="1">
      <alignment horizontal="center" vertical="center" wrapText="1" readingOrder="1"/>
    </xf>
    <xf numFmtId="0" fontId="80" fillId="0" borderId="36" xfId="0" applyFont="1" applyBorder="1" applyAlignment="1">
      <alignment horizontal="center" vertical="center" wrapText="1" readingOrder="1"/>
    </xf>
    <xf numFmtId="0" fontId="44" fillId="13" borderId="26" xfId="0" applyFont="1" applyFill="1" applyBorder="1" applyAlignment="1" applyProtection="1">
      <alignment horizontal="center" vertical="center" wrapText="1"/>
      <protection locked="0"/>
    </xf>
    <xf numFmtId="0" fontId="44" fillId="22" borderId="26" xfId="0" applyFont="1" applyFill="1" applyBorder="1" applyAlignment="1" applyProtection="1">
      <alignment horizontal="center" vertical="center" wrapText="1"/>
      <protection locked="0"/>
    </xf>
    <xf numFmtId="14" fontId="83" fillId="8" borderId="23" xfId="0" applyNumberFormat="1" applyFont="1" applyFill="1" applyBorder="1" applyAlignment="1" applyProtection="1">
      <alignment horizontal="center" vertical="center" wrapText="1"/>
      <protection locked="0"/>
    </xf>
    <xf numFmtId="0" fontId="54" fillId="0" borderId="34" xfId="1" applyFont="1" applyFill="1" applyBorder="1" applyAlignment="1" applyProtection="1">
      <alignment horizontal="center" vertical="center" wrapText="1"/>
      <protection locked="0"/>
    </xf>
    <xf numFmtId="0" fontId="54" fillId="0" borderId="35" xfId="1" applyFont="1" applyFill="1" applyBorder="1" applyAlignment="1" applyProtection="1">
      <alignment horizontal="center" vertical="center" wrapText="1"/>
      <protection locked="0"/>
    </xf>
    <xf numFmtId="0" fontId="54" fillId="0" borderId="36" xfId="1" applyFont="1" applyFill="1" applyBorder="1" applyAlignment="1" applyProtection="1">
      <alignment horizontal="center" vertical="center" wrapText="1"/>
      <protection locked="0"/>
    </xf>
    <xf numFmtId="0" fontId="49" fillId="0" borderId="34" xfId="1" applyFont="1" applyFill="1" applyBorder="1" applyAlignment="1" applyProtection="1">
      <alignment horizontal="center" vertical="center" wrapText="1"/>
      <protection locked="0"/>
    </xf>
    <xf numFmtId="0" fontId="49" fillId="0" borderId="35" xfId="1" applyFont="1" applyFill="1" applyBorder="1" applyAlignment="1" applyProtection="1">
      <alignment horizontal="center" vertical="center" wrapText="1"/>
      <protection locked="0"/>
    </xf>
    <xf numFmtId="0" fontId="79" fillId="0" borderId="34" xfId="0" applyFont="1" applyBorder="1" applyAlignment="1">
      <alignment horizontal="center" vertical="center" wrapText="1" readingOrder="1"/>
    </xf>
    <xf numFmtId="0" fontId="79" fillId="0" borderId="35" xfId="0" applyFont="1" applyBorder="1" applyAlignment="1">
      <alignment horizontal="center" vertical="center" wrapText="1" readingOrder="1"/>
    </xf>
    <xf numFmtId="0" fontId="54" fillId="0" borderId="31" xfId="1" applyFont="1" applyFill="1" applyBorder="1" applyAlignment="1" applyProtection="1">
      <alignment horizontal="center" vertical="center" wrapText="1"/>
      <protection locked="0"/>
    </xf>
    <xf numFmtId="1" fontId="83" fillId="8" borderId="34" xfId="0" applyNumberFormat="1" applyFont="1" applyFill="1" applyBorder="1" applyAlignment="1">
      <alignment horizontal="center" vertical="center" wrapText="1"/>
    </xf>
    <xf numFmtId="1" fontId="83" fillId="8" borderId="36" xfId="0" applyNumberFormat="1" applyFont="1" applyFill="1" applyBorder="1" applyAlignment="1">
      <alignment horizontal="center" vertical="center" wrapText="1"/>
    </xf>
    <xf numFmtId="0" fontId="85" fillId="0" borderId="34" xfId="0" applyFont="1" applyBorder="1" applyAlignment="1">
      <alignment horizontal="center" vertical="center" wrapText="1" readingOrder="1"/>
    </xf>
    <xf numFmtId="0" fontId="85" fillId="0" borderId="35" xfId="0" applyFont="1" applyBorder="1" applyAlignment="1">
      <alignment horizontal="center" vertical="center" wrapText="1" readingOrder="1"/>
    </xf>
    <xf numFmtId="0" fontId="85" fillId="0" borderId="41" xfId="0" applyFont="1" applyBorder="1" applyAlignment="1">
      <alignment horizontal="center" vertical="center" wrapText="1" readingOrder="1"/>
    </xf>
    <xf numFmtId="0" fontId="85" fillId="0" borderId="42" xfId="0" applyFont="1" applyBorder="1" applyAlignment="1">
      <alignment horizontal="center" vertical="center" wrapText="1" readingOrder="1"/>
    </xf>
    <xf numFmtId="165" fontId="65" fillId="0" borderId="34" xfId="84" applyNumberFormat="1" applyFont="1" applyBorder="1" applyAlignment="1">
      <alignment horizontal="center" vertical="center" wrapText="1"/>
    </xf>
    <xf numFmtId="165" fontId="65" fillId="0" borderId="36" xfId="84" applyNumberFormat="1" applyFont="1" applyBorder="1" applyAlignment="1">
      <alignment horizontal="center" vertical="center" wrapText="1"/>
    </xf>
    <xf numFmtId="0" fontId="54" fillId="0" borderId="51" xfId="1" applyFont="1" applyFill="1" applyBorder="1" applyAlignment="1" applyProtection="1">
      <alignment horizontal="center" vertical="center" wrapText="1"/>
      <protection locked="0"/>
    </xf>
    <xf numFmtId="0" fontId="54" fillId="0" borderId="52" xfId="1" applyFont="1" applyFill="1" applyBorder="1" applyAlignment="1" applyProtection="1">
      <alignment horizontal="center" vertical="center" wrapText="1"/>
      <protection locked="0"/>
    </xf>
    <xf numFmtId="0" fontId="54" fillId="0" borderId="53" xfId="1" applyFont="1" applyFill="1" applyBorder="1" applyAlignment="1" applyProtection="1">
      <alignment horizontal="center" vertical="center" wrapText="1"/>
      <protection locked="0"/>
    </xf>
    <xf numFmtId="0" fontId="54" fillId="0" borderId="41" xfId="1" applyFont="1" applyFill="1" applyBorder="1" applyAlignment="1" applyProtection="1">
      <alignment horizontal="center" vertical="center" wrapText="1"/>
      <protection locked="0"/>
    </xf>
    <xf numFmtId="0" fontId="54" fillId="0" borderId="43" xfId="1" applyFont="1" applyFill="1" applyBorder="1" applyAlignment="1" applyProtection="1">
      <alignment horizontal="center" vertical="center" wrapText="1"/>
      <protection locked="0"/>
    </xf>
    <xf numFmtId="0" fontId="76" fillId="0" borderId="21" xfId="0" applyFont="1" applyBorder="1" applyAlignment="1">
      <alignment horizontal="center" vertical="center" wrapText="1"/>
    </xf>
    <xf numFmtId="0" fontId="76" fillId="0" borderId="4" xfId="0" applyFont="1" applyBorder="1" applyAlignment="1">
      <alignment horizontal="center" vertical="center" wrapText="1"/>
    </xf>
    <xf numFmtId="0" fontId="76" fillId="0" borderId="49" xfId="0" applyFont="1" applyBorder="1" applyAlignment="1">
      <alignment horizontal="center" vertical="center" wrapText="1"/>
    </xf>
    <xf numFmtId="0" fontId="85" fillId="0" borderId="36" xfId="0" applyFont="1" applyBorder="1" applyAlignment="1">
      <alignment horizontal="center" vertical="center" wrapText="1" readingOrder="1"/>
    </xf>
    <xf numFmtId="0" fontId="80" fillId="0" borderId="46" xfId="0" applyFont="1" applyBorder="1" applyAlignment="1">
      <alignment horizontal="center" vertical="center" wrapText="1" readingOrder="1"/>
    </xf>
    <xf numFmtId="0" fontId="80" fillId="0" borderId="47" xfId="0" applyFont="1" applyBorder="1" applyAlignment="1">
      <alignment horizontal="center" vertical="center" wrapText="1" readingOrder="1"/>
    </xf>
    <xf numFmtId="14" fontId="76" fillId="0" borderId="44" xfId="0" applyNumberFormat="1" applyFont="1" applyBorder="1" applyAlignment="1">
      <alignment horizontal="center" vertical="center" wrapText="1"/>
    </xf>
    <xf numFmtId="0" fontId="76" fillId="0" borderId="50" xfId="0" applyFont="1" applyBorder="1" applyAlignment="1">
      <alignment horizontal="center" vertical="center" wrapText="1"/>
    </xf>
    <xf numFmtId="14" fontId="86" fillId="0" borderId="21" xfId="0" applyNumberFormat="1" applyFont="1" applyBorder="1" applyAlignment="1">
      <alignment horizontal="center" vertical="center" wrapText="1"/>
    </xf>
    <xf numFmtId="0" fontId="86" fillId="0" borderId="5" xfId="0" applyFont="1" applyBorder="1" applyAlignment="1">
      <alignment horizontal="center" vertical="center" wrapText="1"/>
    </xf>
    <xf numFmtId="0" fontId="85" fillId="0" borderId="31" xfId="0" applyFont="1" applyBorder="1" applyAlignment="1">
      <alignment horizontal="center" vertical="center" wrapText="1" readingOrder="1"/>
    </xf>
    <xf numFmtId="0" fontId="76" fillId="0" borderId="31"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36" xfId="0" applyFont="1" applyBorder="1" applyAlignment="1">
      <alignment horizontal="center" vertical="center" wrapText="1"/>
    </xf>
    <xf numFmtId="0" fontId="76" fillId="0" borderId="41" xfId="0" applyFont="1" applyBorder="1" applyAlignment="1">
      <alignment horizontal="center" vertical="center" wrapText="1"/>
    </xf>
    <xf numFmtId="0" fontId="76" fillId="0" borderId="43" xfId="0" applyFont="1" applyBorder="1" applyAlignment="1">
      <alignment horizontal="center" vertical="center" wrapText="1"/>
    </xf>
    <xf numFmtId="9" fontId="54" fillId="0" borderId="34" xfId="0" applyNumberFormat="1" applyFont="1" applyBorder="1" applyAlignment="1" applyProtection="1">
      <alignment horizontal="center" vertical="center" wrapText="1"/>
      <protection locked="0"/>
    </xf>
    <xf numFmtId="9" fontId="54" fillId="0" borderId="36" xfId="0" applyNumberFormat="1" applyFont="1" applyBorder="1" applyAlignment="1" applyProtection="1">
      <alignment horizontal="center" vertical="center" wrapText="1"/>
      <protection locked="0"/>
    </xf>
    <xf numFmtId="10" fontId="83" fillId="2" borderId="34" xfId="56" applyNumberFormat="1" applyFont="1" applyFill="1" applyBorder="1" applyAlignment="1">
      <alignment horizontal="center" vertical="center" wrapText="1"/>
    </xf>
    <xf numFmtId="10" fontId="83" fillId="2" borderId="36" xfId="56" applyNumberFormat="1" applyFont="1" applyFill="1" applyBorder="1" applyAlignment="1">
      <alignment horizontal="center" vertical="center" wrapText="1"/>
    </xf>
    <xf numFmtId="9" fontId="46" fillId="0" borderId="34" xfId="187" applyFont="1" applyBorder="1" applyAlignment="1">
      <alignment horizontal="center" vertical="center" wrapText="1"/>
    </xf>
    <xf numFmtId="9" fontId="46" fillId="0" borderId="36" xfId="187" applyFont="1" applyBorder="1" applyAlignment="1">
      <alignment horizontal="center" vertical="center" wrapText="1"/>
    </xf>
    <xf numFmtId="9" fontId="54" fillId="2" borderId="34" xfId="188" applyNumberFormat="1" applyFont="1" applyFill="1" applyBorder="1" applyAlignment="1">
      <alignment horizontal="center" vertical="center" wrapText="1"/>
    </xf>
    <xf numFmtId="9" fontId="54" fillId="2" borderId="36" xfId="188" applyNumberFormat="1" applyFont="1" applyFill="1" applyBorder="1" applyAlignment="1">
      <alignment horizontal="center" vertical="center" wrapText="1"/>
    </xf>
    <xf numFmtId="9" fontId="83" fillId="0" borderId="34" xfId="187" applyFont="1" applyBorder="1" applyAlignment="1">
      <alignment horizontal="center" vertical="center" wrapText="1"/>
    </xf>
    <xf numFmtId="9" fontId="83" fillId="0" borderId="36" xfId="187" applyFont="1" applyBorder="1" applyAlignment="1">
      <alignment horizontal="center" vertical="center" wrapText="1"/>
    </xf>
    <xf numFmtId="0" fontId="46" fillId="8" borderId="34" xfId="84" applyFont="1" applyFill="1" applyBorder="1" applyAlignment="1">
      <alignment horizontal="center" vertical="center" wrapText="1"/>
    </xf>
    <xf numFmtId="0" fontId="46" fillId="8" borderId="36" xfId="84" applyFont="1" applyFill="1" applyBorder="1" applyAlignment="1">
      <alignment horizontal="center" vertical="center" wrapText="1"/>
    </xf>
    <xf numFmtId="1" fontId="83" fillId="0" borderId="34" xfId="56" applyNumberFormat="1" applyFont="1" applyBorder="1" applyAlignment="1">
      <alignment horizontal="center" vertical="center" wrapText="1"/>
    </xf>
    <xf numFmtId="1" fontId="83" fillId="0" borderId="36" xfId="56" applyNumberFormat="1" applyFont="1" applyBorder="1" applyAlignment="1">
      <alignment horizontal="center" vertical="center" wrapText="1"/>
    </xf>
    <xf numFmtId="1" fontId="44" fillId="0" borderId="46" xfId="0" applyNumberFormat="1" applyFont="1" applyBorder="1" applyAlignment="1">
      <alignment horizontal="center" vertical="center" wrapText="1"/>
    </xf>
    <xf numFmtId="1" fontId="44" fillId="0" borderId="48" xfId="0" applyNumberFormat="1" applyFont="1" applyBorder="1" applyAlignment="1">
      <alignment horizontal="center" vertical="center" wrapText="1"/>
    </xf>
    <xf numFmtId="165" fontId="46" fillId="0" borderId="34" xfId="84" applyNumberFormat="1" applyFont="1" applyBorder="1" applyAlignment="1">
      <alignment horizontal="center" vertical="center" wrapText="1"/>
    </xf>
    <xf numFmtId="165" fontId="46" fillId="0" borderId="36" xfId="84" applyNumberFormat="1" applyFont="1" applyBorder="1" applyAlignment="1">
      <alignment horizontal="center" vertical="center" wrapText="1"/>
    </xf>
    <xf numFmtId="166" fontId="46" fillId="8" borderId="34" xfId="84" applyNumberFormat="1" applyFont="1" applyFill="1" applyBorder="1" applyAlignment="1">
      <alignment horizontal="center" vertical="center" wrapText="1"/>
    </xf>
    <xf numFmtId="166" fontId="46" fillId="8" borderId="36" xfId="84" applyNumberFormat="1" applyFont="1" applyFill="1" applyBorder="1" applyAlignment="1">
      <alignment horizontal="center" vertical="center" wrapText="1"/>
    </xf>
    <xf numFmtId="0" fontId="75" fillId="0" borderId="34" xfId="1" applyFont="1" applyFill="1" applyBorder="1" applyAlignment="1" applyProtection="1">
      <alignment horizontal="center" vertical="center" wrapText="1"/>
      <protection locked="0"/>
    </xf>
    <xf numFmtId="0" fontId="75" fillId="0" borderId="36" xfId="1" applyFont="1" applyFill="1" applyBorder="1" applyAlignment="1" applyProtection="1">
      <alignment horizontal="center" vertical="center" wrapText="1"/>
      <protection locked="0"/>
    </xf>
    <xf numFmtId="0" fontId="99" fillId="0" borderId="34" xfId="0" applyFont="1" applyBorder="1" applyAlignment="1">
      <alignment horizontal="center" vertical="center" wrapText="1" readingOrder="1"/>
    </xf>
    <xf numFmtId="0" fontId="99" fillId="0" borderId="36" xfId="0" applyFont="1" applyBorder="1" applyAlignment="1">
      <alignment horizontal="center" vertical="center" wrapText="1" readingOrder="1"/>
    </xf>
    <xf numFmtId="0" fontId="99" fillId="0" borderId="35" xfId="0" applyFont="1" applyBorder="1" applyAlignment="1">
      <alignment horizontal="center" vertical="center" wrapText="1" readingOrder="1"/>
    </xf>
    <xf numFmtId="0" fontId="75" fillId="0" borderId="35" xfId="1" applyFont="1" applyFill="1" applyBorder="1" applyAlignment="1" applyProtection="1">
      <alignment horizontal="center" vertical="center" wrapText="1"/>
      <protection locked="0"/>
    </xf>
    <xf numFmtId="0" fontId="87" fillId="8" borderId="23" xfId="0" applyFont="1" applyFill="1" applyBorder="1" applyAlignment="1" applyProtection="1">
      <alignment horizontal="center" vertical="center" wrapText="1"/>
      <protection locked="0"/>
    </xf>
    <xf numFmtId="0" fontId="88" fillId="8" borderId="23" xfId="0" applyFont="1" applyFill="1" applyBorder="1" applyAlignment="1" applyProtection="1">
      <alignment horizontal="center" vertical="center" wrapText="1"/>
      <protection locked="0"/>
    </xf>
    <xf numFmtId="0" fontId="87" fillId="20" borderId="23" xfId="0" applyFont="1" applyFill="1" applyBorder="1" applyAlignment="1" applyProtection="1">
      <alignment horizontal="center" vertical="center" wrapText="1"/>
      <protection locked="0"/>
    </xf>
    <xf numFmtId="14" fontId="87" fillId="8" borderId="25" xfId="0" applyNumberFormat="1" applyFont="1" applyFill="1" applyBorder="1" applyAlignment="1" applyProtection="1">
      <alignment horizontal="center" vertical="center" wrapText="1"/>
      <protection locked="0"/>
    </xf>
    <xf numFmtId="14" fontId="87" fillId="8" borderId="29" xfId="0" applyNumberFormat="1" applyFont="1" applyFill="1" applyBorder="1" applyAlignment="1" applyProtection="1">
      <alignment horizontal="center" vertical="center" wrapText="1"/>
      <protection locked="0"/>
    </xf>
    <xf numFmtId="14" fontId="87" fillId="8" borderId="24" xfId="0" applyNumberFormat="1" applyFont="1" applyFill="1" applyBorder="1" applyAlignment="1" applyProtection="1">
      <alignment horizontal="center" vertical="center" wrapText="1"/>
      <protection locked="0"/>
    </xf>
    <xf numFmtId="0" fontId="87" fillId="23" borderId="23" xfId="0" applyFont="1" applyFill="1" applyBorder="1" applyAlignment="1" applyProtection="1">
      <alignment horizontal="center" vertical="center" wrapText="1"/>
      <protection locked="0"/>
    </xf>
    <xf numFmtId="14" fontId="87" fillId="8" borderId="23" xfId="0" applyNumberFormat="1" applyFont="1" applyFill="1" applyBorder="1" applyAlignment="1" applyProtection="1">
      <alignment horizontal="center" vertical="center" wrapText="1"/>
      <protection locked="0"/>
    </xf>
    <xf numFmtId="0" fontId="87" fillId="13" borderId="23" xfId="0" applyFont="1" applyFill="1" applyBorder="1" applyAlignment="1" applyProtection="1">
      <alignment horizontal="center" vertical="center" wrapText="1"/>
      <protection locked="0"/>
    </xf>
    <xf numFmtId="0" fontId="87" fillId="13" borderId="26" xfId="0" applyFont="1" applyFill="1" applyBorder="1" applyAlignment="1" applyProtection="1">
      <alignment horizontal="center" vertical="center" wrapText="1"/>
      <protection locked="0"/>
    </xf>
    <xf numFmtId="0" fontId="87" fillId="22" borderId="26" xfId="0" applyFont="1" applyFill="1" applyBorder="1" applyAlignment="1" applyProtection="1">
      <alignment horizontal="center" vertical="center" wrapText="1"/>
      <protection locked="0"/>
    </xf>
    <xf numFmtId="0" fontId="87" fillId="22" borderId="23" xfId="0" applyFont="1" applyFill="1" applyBorder="1" applyAlignment="1" applyProtection="1">
      <alignment horizontal="center" vertical="center" wrapText="1"/>
      <protection locked="0"/>
    </xf>
    <xf numFmtId="0" fontId="96" fillId="7" borderId="13" xfId="188" applyFont="1" applyFill="1" applyBorder="1" applyAlignment="1">
      <alignment horizontal="center" vertical="center" wrapText="1"/>
    </xf>
    <xf numFmtId="0" fontId="99" fillId="0" borderId="38" xfId="0" applyFont="1" applyBorder="1" applyAlignment="1">
      <alignment horizontal="center" vertical="center" wrapText="1" readingOrder="1"/>
    </xf>
    <xf numFmtId="0" fontId="99" fillId="0" borderId="40" xfId="0" applyFont="1" applyBorder="1" applyAlignment="1">
      <alignment horizontal="center" vertical="center" wrapText="1" readingOrder="1"/>
    </xf>
    <xf numFmtId="0" fontId="99" fillId="0" borderId="39" xfId="0" applyFont="1" applyBorder="1" applyAlignment="1">
      <alignment horizontal="center" vertical="center" wrapText="1" readingOrder="1"/>
    </xf>
    <xf numFmtId="0" fontId="75" fillId="0" borderId="34" xfId="0" applyFont="1" applyBorder="1" applyAlignment="1">
      <alignment horizontal="center" vertical="center" wrapText="1" readingOrder="1"/>
    </xf>
    <xf numFmtId="0" fontId="75" fillId="0" borderId="35" xfId="0" applyFont="1" applyBorder="1" applyAlignment="1">
      <alignment horizontal="center" vertical="center" wrapText="1" readingOrder="1"/>
    </xf>
    <xf numFmtId="0" fontId="75" fillId="0" borderId="36" xfId="0" applyFont="1" applyBorder="1" applyAlignment="1">
      <alignment horizontal="center" vertical="center" wrapText="1" readingOrder="1"/>
    </xf>
    <xf numFmtId="0" fontId="75" fillId="0" borderId="41" xfId="0" applyFont="1" applyBorder="1" applyAlignment="1">
      <alignment horizontal="center" vertical="center" wrapText="1" readingOrder="1"/>
    </xf>
    <xf numFmtId="0" fontId="75" fillId="0" borderId="42" xfId="0" applyFont="1" applyBorder="1" applyAlignment="1">
      <alignment horizontal="center" vertical="center" wrapText="1" readingOrder="1"/>
    </xf>
    <xf numFmtId="0" fontId="75" fillId="0" borderId="43" xfId="0" applyFont="1" applyBorder="1" applyAlignment="1">
      <alignment horizontal="center" vertical="center" wrapText="1" readingOrder="1"/>
    </xf>
    <xf numFmtId="0" fontId="95" fillId="0" borderId="34" xfId="0" applyFont="1" applyBorder="1" applyAlignment="1">
      <alignment horizontal="center" vertical="center" wrapText="1"/>
    </xf>
    <xf numFmtId="0" fontId="95" fillId="0" borderId="36" xfId="0" applyFont="1" applyBorder="1" applyAlignment="1">
      <alignment horizontal="center" vertical="center" wrapText="1"/>
    </xf>
    <xf numFmtId="0" fontId="46" fillId="8" borderId="34" xfId="1" applyFont="1" applyFill="1" applyBorder="1" applyAlignment="1" applyProtection="1">
      <alignment horizontal="center" vertical="center" wrapText="1"/>
      <protection locked="0"/>
    </xf>
    <xf numFmtId="0" fontId="46" fillId="8" borderId="36" xfId="1" applyFont="1" applyFill="1" applyBorder="1" applyAlignment="1" applyProtection="1">
      <alignment horizontal="center" vertical="center" wrapText="1"/>
      <protection locked="0"/>
    </xf>
    <xf numFmtId="0" fontId="46" fillId="26" borderId="45" xfId="0" applyFont="1" applyFill="1" applyBorder="1" applyAlignment="1">
      <alignment horizontal="left" vertical="center" wrapText="1"/>
    </xf>
    <xf numFmtId="0" fontId="46" fillId="26" borderId="50" xfId="0" applyFont="1" applyFill="1" applyBorder="1" applyAlignment="1">
      <alignment horizontal="left" vertical="center" wrapText="1"/>
    </xf>
    <xf numFmtId="0" fontId="46" fillId="26" borderId="4" xfId="0" applyFont="1" applyFill="1" applyBorder="1" applyAlignment="1">
      <alignment horizontal="center" vertical="center" wrapText="1"/>
    </xf>
    <xf numFmtId="0" fontId="46" fillId="26" borderId="49" xfId="0" applyFont="1" applyFill="1" applyBorder="1" applyAlignment="1">
      <alignment horizontal="center" vertical="center" wrapText="1"/>
    </xf>
    <xf numFmtId="0" fontId="46" fillId="8" borderId="35" xfId="1" applyFont="1" applyFill="1" applyBorder="1" applyAlignment="1" applyProtection="1">
      <alignment horizontal="center" vertical="center" wrapText="1"/>
      <protection locked="0"/>
    </xf>
    <xf numFmtId="0" fontId="95" fillId="0" borderId="35" xfId="0" applyFont="1" applyBorder="1" applyAlignment="1">
      <alignment horizontal="center" vertical="center" wrapText="1"/>
    </xf>
    <xf numFmtId="0" fontId="76" fillId="0" borderId="35" xfId="0" applyFont="1" applyBorder="1" applyAlignment="1">
      <alignment vertical="center" wrapText="1"/>
    </xf>
    <xf numFmtId="0" fontId="76" fillId="0" borderId="36" xfId="0" applyFont="1" applyBorder="1" applyAlignment="1">
      <alignment vertical="center" wrapText="1"/>
    </xf>
    <xf numFmtId="0" fontId="86" fillId="0" borderId="35" xfId="0" applyFont="1" applyBorder="1" applyAlignment="1">
      <alignment vertical="center" wrapText="1"/>
    </xf>
    <xf numFmtId="0" fontId="86" fillId="0" borderId="36" xfId="0" applyFont="1" applyBorder="1" applyAlignment="1">
      <alignment vertical="center" wrapText="1"/>
    </xf>
    <xf numFmtId="0" fontId="76" fillId="0" borderId="34" xfId="0" applyFont="1" applyBorder="1" applyAlignment="1">
      <alignment vertical="center" wrapText="1"/>
    </xf>
    <xf numFmtId="0" fontId="76" fillId="0" borderId="34" xfId="0" applyFont="1" applyBorder="1" applyAlignment="1">
      <alignment horizontal="left" vertical="center" wrapText="1"/>
    </xf>
    <xf numFmtId="0" fontId="76" fillId="0" borderId="35" xfId="0" applyFont="1" applyBorder="1" applyAlignment="1">
      <alignment horizontal="left" vertical="center" wrapText="1"/>
    </xf>
    <xf numFmtId="0" fontId="76" fillId="0" borderId="36" xfId="0" applyFont="1" applyBorder="1" applyAlignment="1">
      <alignment horizontal="left" vertical="center" wrapText="1"/>
    </xf>
    <xf numFmtId="0" fontId="105" fillId="17" borderId="37" xfId="0" applyFont="1" applyFill="1" applyBorder="1" applyAlignment="1">
      <alignment horizontal="center" vertical="center" wrapText="1"/>
    </xf>
    <xf numFmtId="0" fontId="105" fillId="17" borderId="57" xfId="0" applyFont="1" applyFill="1" applyBorder="1" applyAlignment="1">
      <alignment horizontal="center" vertical="center" wrapText="1"/>
    </xf>
    <xf numFmtId="0" fontId="105" fillId="17" borderId="32" xfId="0" applyFont="1" applyFill="1" applyBorder="1" applyAlignment="1">
      <alignment horizontal="center" vertical="center" wrapText="1"/>
    </xf>
    <xf numFmtId="14" fontId="107" fillId="17" borderId="37" xfId="0" applyNumberFormat="1" applyFont="1" applyFill="1" applyBorder="1" applyAlignment="1">
      <alignment horizontal="center" vertical="center" wrapText="1"/>
    </xf>
    <xf numFmtId="0" fontId="107" fillId="17" borderId="57" xfId="0" applyFont="1" applyFill="1" applyBorder="1" applyAlignment="1">
      <alignment horizontal="center" vertical="center" wrapText="1"/>
    </xf>
    <xf numFmtId="0" fontId="107" fillId="17" borderId="79" xfId="0" applyFont="1" applyFill="1" applyBorder="1" applyAlignment="1">
      <alignment horizontal="center" vertical="center" wrapText="1"/>
    </xf>
    <xf numFmtId="0" fontId="106" fillId="0" borderId="76" xfId="0" applyFont="1" applyBorder="1" applyAlignment="1">
      <alignment horizontal="center" vertical="center" wrapText="1"/>
    </xf>
    <xf numFmtId="0" fontId="106" fillId="0" borderId="77" xfId="0" applyFont="1" applyBorder="1" applyAlignment="1">
      <alignment horizontal="center" vertical="center" wrapText="1"/>
    </xf>
    <xf numFmtId="0" fontId="106" fillId="0" borderId="78" xfId="0" applyFont="1" applyBorder="1" applyAlignment="1">
      <alignment horizontal="center" vertical="center" wrapText="1"/>
    </xf>
    <xf numFmtId="14" fontId="107" fillId="17" borderId="76" xfId="0" applyNumberFormat="1" applyFont="1" applyFill="1" applyBorder="1" applyAlignment="1">
      <alignment horizontal="center" vertical="center" wrapText="1"/>
    </xf>
    <xf numFmtId="0" fontId="107" fillId="17" borderId="77" xfId="0" applyFont="1" applyFill="1" applyBorder="1" applyAlignment="1">
      <alignment horizontal="center" vertical="center" wrapText="1"/>
    </xf>
    <xf numFmtId="0" fontId="107" fillId="17" borderId="80" xfId="0" applyFont="1" applyFill="1" applyBorder="1" applyAlignment="1">
      <alignment horizontal="center" vertical="center" wrapText="1"/>
    </xf>
    <xf numFmtId="0" fontId="86" fillId="0" borderId="34" xfId="0" applyFont="1" applyBorder="1" applyAlignment="1">
      <alignment vertical="center" wrapText="1"/>
    </xf>
    <xf numFmtId="0" fontId="49" fillId="0" borderId="23" xfId="188" applyFont="1" applyBorder="1" applyAlignment="1">
      <alignment horizontal="center" vertical="center"/>
    </xf>
    <xf numFmtId="0" fontId="54" fillId="0" borderId="23" xfId="0" applyFont="1" applyBorder="1" applyAlignment="1">
      <alignment horizontal="center" vertical="center" wrapText="1"/>
    </xf>
    <xf numFmtId="0" fontId="83" fillId="0" borderId="23" xfId="4" applyFont="1" applyBorder="1" applyAlignment="1">
      <alignment horizontal="center" vertical="center"/>
    </xf>
    <xf numFmtId="0" fontId="54" fillId="0" borderId="23" xfId="183" applyFont="1" applyBorder="1" applyAlignment="1">
      <alignment horizontal="center" vertical="center" wrapText="1"/>
    </xf>
    <xf numFmtId="0" fontId="54" fillId="0" borderId="23" xfId="4" applyFont="1" applyBorder="1" applyAlignment="1" applyProtection="1">
      <alignment horizontal="center" vertical="center" wrapText="1"/>
      <protection locked="0"/>
    </xf>
    <xf numFmtId="0" fontId="49" fillId="19" borderId="23" xfId="188" applyFont="1" applyFill="1" applyBorder="1" applyAlignment="1">
      <alignment horizontal="center" vertical="center"/>
    </xf>
    <xf numFmtId="0" fontId="54" fillId="0" borderId="109" xfId="0" applyFont="1" applyBorder="1" applyAlignment="1">
      <alignment horizontal="center" vertical="center" wrapText="1"/>
    </xf>
    <xf numFmtId="0" fontId="54" fillId="0" borderId="13" xfId="0" applyFont="1" applyBorder="1" applyAlignment="1">
      <alignment horizontal="center" vertical="center" wrapText="1"/>
    </xf>
    <xf numFmtId="0" fontId="54" fillId="8" borderId="23" xfId="0" applyFont="1" applyFill="1" applyBorder="1" applyAlignment="1">
      <alignment horizontal="center" vertical="center" wrapText="1"/>
    </xf>
    <xf numFmtId="0" fontId="46" fillId="0" borderId="23" xfId="0" applyFont="1" applyBorder="1" applyAlignment="1">
      <alignment horizontal="center" vertical="center"/>
    </xf>
    <xf numFmtId="0" fontId="54" fillId="0" borderId="23" xfId="158" applyFont="1" applyBorder="1" applyAlignment="1">
      <alignment horizontal="center" vertical="center" wrapText="1"/>
    </xf>
    <xf numFmtId="0" fontId="0" fillId="8" borderId="37" xfId="0" applyFill="1" applyBorder="1" applyAlignment="1">
      <alignment horizontal="center" vertical="center" wrapText="1"/>
    </xf>
    <xf numFmtId="0" fontId="0" fillId="8" borderId="57" xfId="0" applyFill="1" applyBorder="1" applyAlignment="1">
      <alignment horizontal="center" vertical="center" wrapText="1"/>
    </xf>
    <xf numFmtId="0" fontId="0" fillId="8" borderId="32" xfId="0" applyFill="1" applyBorder="1" applyAlignment="1">
      <alignment horizontal="center" vertical="center" wrapText="1"/>
    </xf>
    <xf numFmtId="0" fontId="33" fillId="44" borderId="110" xfId="0" applyFont="1" applyFill="1" applyBorder="1" applyAlignment="1">
      <alignment horizontal="center" vertical="center"/>
    </xf>
    <xf numFmtId="0" fontId="33" fillId="44" borderId="22" xfId="0" applyFont="1" applyFill="1" applyBorder="1" applyAlignment="1">
      <alignment horizontal="center" vertical="center"/>
    </xf>
    <xf numFmtId="0" fontId="0" fillId="0" borderId="107" xfId="0" applyBorder="1" applyAlignment="1">
      <alignment horizontal="center" vertical="center"/>
    </xf>
    <xf numFmtId="0" fontId="0" fillId="0" borderId="112" xfId="0" applyBorder="1" applyAlignment="1">
      <alignment horizontal="center" vertical="center"/>
    </xf>
    <xf numFmtId="0" fontId="0" fillId="0" borderId="102" xfId="0" applyBorder="1" applyAlignment="1">
      <alignment horizontal="center" vertical="center"/>
    </xf>
    <xf numFmtId="0" fontId="58" fillId="34" borderId="34" xfId="0" applyFont="1" applyFill="1" applyBorder="1" applyAlignment="1">
      <alignment horizontal="center" vertical="center" wrapText="1"/>
    </xf>
    <xf numFmtId="0" fontId="58" fillId="34" borderId="35" xfId="0" applyFont="1" applyFill="1" applyBorder="1" applyAlignment="1">
      <alignment horizontal="center" vertical="center" wrapText="1"/>
    </xf>
    <xf numFmtId="0" fontId="58" fillId="34" borderId="36" xfId="0" applyFont="1" applyFill="1" applyBorder="1" applyAlignment="1">
      <alignment horizontal="center" vertical="center" wrapText="1"/>
    </xf>
    <xf numFmtId="0" fontId="58" fillId="34" borderId="31" xfId="0" applyFont="1" applyFill="1" applyBorder="1" applyAlignment="1">
      <alignment horizontal="center" vertical="center" wrapText="1"/>
    </xf>
    <xf numFmtId="0" fontId="58" fillId="34" borderId="29" xfId="0" applyFont="1" applyFill="1" applyBorder="1" applyAlignment="1">
      <alignment horizontal="center" vertical="center" wrapText="1"/>
    </xf>
    <xf numFmtId="0" fontId="58" fillId="34" borderId="17" xfId="0" applyFont="1" applyFill="1" applyBorder="1" applyAlignment="1">
      <alignment horizontal="center" vertical="center" wrapText="1"/>
    </xf>
    <xf numFmtId="0" fontId="0" fillId="8" borderId="31" xfId="0" applyFill="1" applyBorder="1" applyAlignment="1">
      <alignment horizontal="center" vertical="center" wrapText="1"/>
    </xf>
    <xf numFmtId="0" fontId="58" fillId="34" borderId="61" xfId="0" applyFont="1" applyFill="1" applyBorder="1" applyAlignment="1">
      <alignment horizontal="center" vertical="center" wrapText="1"/>
    </xf>
    <xf numFmtId="17" fontId="58" fillId="34" borderId="23" xfId="0" applyNumberFormat="1" applyFont="1" applyFill="1" applyBorder="1" applyAlignment="1">
      <alignment horizontal="center" vertical="center" wrapText="1"/>
    </xf>
    <xf numFmtId="0" fontId="58" fillId="34" borderId="23" xfId="0" applyFont="1" applyFill="1" applyBorder="1" applyAlignment="1">
      <alignment horizontal="center" vertical="center" wrapText="1"/>
    </xf>
    <xf numFmtId="0" fontId="33" fillId="19" borderId="23" xfId="0" applyFont="1" applyFill="1" applyBorder="1" applyAlignment="1">
      <alignment horizontal="center" vertical="center" wrapText="1"/>
    </xf>
    <xf numFmtId="0" fontId="33" fillId="15" borderId="23" xfId="0" applyFont="1" applyFill="1" applyBorder="1" applyAlignment="1">
      <alignment horizontal="center" vertical="center" wrapText="1"/>
    </xf>
    <xf numFmtId="0" fontId="33" fillId="34" borderId="23" xfId="0" applyFont="1" applyFill="1" applyBorder="1" applyAlignment="1">
      <alignment horizontal="center" vertical="center" wrapText="1"/>
    </xf>
    <xf numFmtId="17" fontId="58" fillId="34" borderId="26" xfId="0" applyNumberFormat="1" applyFont="1" applyFill="1" applyBorder="1" applyAlignment="1">
      <alignment horizontal="center" vertical="center" wrapText="1"/>
    </xf>
    <xf numFmtId="17" fontId="58" fillId="34" borderId="13" xfId="0" applyNumberFormat="1" applyFont="1" applyFill="1" applyBorder="1" applyAlignment="1">
      <alignment horizontal="center" vertical="center" wrapText="1"/>
    </xf>
    <xf numFmtId="0" fontId="35" fillId="8" borderId="25" xfId="0" applyFont="1" applyFill="1" applyBorder="1" applyAlignment="1">
      <alignment horizontal="center" vertical="center" wrapText="1"/>
    </xf>
    <xf numFmtId="0" fontId="35" fillId="8" borderId="29" xfId="0" applyFont="1" applyFill="1" applyBorder="1" applyAlignment="1">
      <alignment horizontal="center" vertical="center" wrapText="1"/>
    </xf>
    <xf numFmtId="0" fontId="35" fillId="8" borderId="24" xfId="0" applyFont="1" applyFill="1" applyBorder="1" applyAlignment="1">
      <alignment horizontal="center" vertical="center" wrapText="1"/>
    </xf>
    <xf numFmtId="0" fontId="33" fillId="34" borderId="25" xfId="0" applyFont="1" applyFill="1" applyBorder="1" applyAlignment="1">
      <alignment horizontal="center" vertical="center" wrapText="1"/>
    </xf>
    <xf numFmtId="0" fontId="33" fillId="34" borderId="29" xfId="0" applyFont="1" applyFill="1" applyBorder="1" applyAlignment="1">
      <alignment horizontal="center" vertical="center" wrapText="1"/>
    </xf>
    <xf numFmtId="0" fontId="33" fillId="34" borderId="24"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0" fillId="34" borderId="23" xfId="0" applyFill="1" applyBorder="1" applyAlignment="1">
      <alignment horizontal="center" vertical="center" wrapText="1"/>
    </xf>
    <xf numFmtId="0" fontId="33" fillId="3" borderId="26"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44" fillId="39" borderId="82" xfId="0" applyFont="1" applyFill="1" applyBorder="1" applyAlignment="1">
      <alignment horizontal="center" vertical="center"/>
    </xf>
    <xf numFmtId="0" fontId="44" fillId="39" borderId="85" xfId="0" applyFont="1" applyFill="1" applyBorder="1" applyAlignment="1">
      <alignment horizontal="center" vertical="center"/>
    </xf>
    <xf numFmtId="0" fontId="44" fillId="39" borderId="81" xfId="0" applyFont="1" applyFill="1" applyBorder="1" applyAlignment="1">
      <alignment horizontal="center" vertical="center"/>
    </xf>
    <xf numFmtId="0" fontId="44" fillId="39" borderId="83" xfId="0" applyFont="1" applyFill="1" applyBorder="1" applyAlignment="1">
      <alignment horizontal="center" vertical="center"/>
    </xf>
    <xf numFmtId="0" fontId="44" fillId="39" borderId="86" xfId="0" applyFont="1" applyFill="1" applyBorder="1" applyAlignment="1">
      <alignment horizontal="center" vertical="center" wrapText="1"/>
    </xf>
    <xf numFmtId="0" fontId="44" fillId="39" borderId="17" xfId="0" applyFont="1" applyFill="1" applyBorder="1" applyAlignment="1">
      <alignment horizontal="center" vertical="center" wrapText="1"/>
    </xf>
    <xf numFmtId="9" fontId="46" fillId="14" borderId="81" xfId="0" applyNumberFormat="1" applyFont="1" applyFill="1" applyBorder="1" applyAlignment="1">
      <alignment horizontal="center" vertical="center" wrapText="1"/>
    </xf>
    <xf numFmtId="9" fontId="46" fillId="14" borderId="83" xfId="0" applyNumberFormat="1" applyFont="1" applyFill="1" applyBorder="1" applyAlignment="1">
      <alignment horizontal="center" vertical="center" wrapText="1"/>
    </xf>
    <xf numFmtId="0" fontId="46" fillId="6" borderId="86" xfId="0" applyFont="1" applyFill="1" applyBorder="1" applyAlignment="1">
      <alignment horizontal="center" vertical="center" wrapText="1"/>
    </xf>
    <xf numFmtId="0" fontId="46" fillId="6" borderId="17" xfId="0" applyFont="1" applyFill="1" applyBorder="1" applyAlignment="1">
      <alignment horizontal="center" vertical="center" wrapText="1"/>
    </xf>
    <xf numFmtId="0" fontId="44" fillId="39" borderId="33" xfId="0" applyFont="1" applyFill="1" applyBorder="1" applyAlignment="1">
      <alignment horizontal="center" vertical="center" wrapText="1"/>
    </xf>
    <xf numFmtId="0" fontId="44" fillId="39" borderId="74" xfId="0" applyFont="1" applyFill="1" applyBorder="1" applyAlignment="1">
      <alignment horizontal="center" vertical="center" wrapText="1"/>
    </xf>
    <xf numFmtId="0" fontId="44" fillId="39" borderId="96" xfId="0" applyFont="1" applyFill="1" applyBorder="1" applyAlignment="1">
      <alignment horizontal="center" vertical="center" wrapText="1"/>
    </xf>
    <xf numFmtId="0" fontId="44" fillId="39" borderId="101" xfId="0" applyFont="1" applyFill="1" applyBorder="1" applyAlignment="1">
      <alignment horizontal="center" vertical="center" wrapText="1"/>
    </xf>
    <xf numFmtId="0" fontId="58" fillId="34" borderId="37" xfId="0" applyFont="1" applyFill="1" applyBorder="1" applyAlignment="1">
      <alignment horizontal="center" vertical="center" wrapText="1"/>
    </xf>
    <xf numFmtId="0" fontId="58" fillId="34" borderId="41" xfId="0" applyFont="1" applyFill="1" applyBorder="1" applyAlignment="1">
      <alignment horizontal="center" vertical="center" wrapText="1"/>
    </xf>
    <xf numFmtId="0" fontId="44" fillId="39" borderId="87" xfId="0" applyFont="1" applyFill="1" applyBorder="1" applyAlignment="1">
      <alignment horizontal="center" vertical="center" wrapText="1"/>
    </xf>
    <xf numFmtId="0" fontId="44" fillId="39" borderId="88" xfId="0" applyFont="1" applyFill="1" applyBorder="1" applyAlignment="1">
      <alignment horizontal="center" vertical="center" wrapText="1"/>
    </xf>
    <xf numFmtId="0" fontId="44" fillId="39" borderId="90" xfId="0" applyFont="1" applyFill="1" applyBorder="1" applyAlignment="1">
      <alignment horizontal="center" vertical="center" wrapText="1"/>
    </xf>
    <xf numFmtId="0" fontId="44" fillId="39" borderId="0" xfId="0" applyFont="1" applyFill="1" applyAlignment="1">
      <alignment horizontal="center" vertical="center" wrapText="1"/>
    </xf>
    <xf numFmtId="0" fontId="44" fillId="39" borderId="81" xfId="0" applyFont="1" applyFill="1" applyBorder="1" applyAlignment="1">
      <alignment horizontal="center" vertical="center" wrapText="1"/>
    </xf>
    <xf numFmtId="0" fontId="44" fillId="39" borderId="83" xfId="0" applyFont="1" applyFill="1" applyBorder="1" applyAlignment="1">
      <alignment horizontal="center" vertical="center" wrapText="1"/>
    </xf>
    <xf numFmtId="0" fontId="44" fillId="39" borderId="94" xfId="0" applyFont="1" applyFill="1" applyBorder="1" applyAlignment="1">
      <alignment horizontal="center" vertical="center"/>
    </xf>
    <xf numFmtId="0" fontId="44" fillId="39" borderId="99" xfId="0" applyFont="1" applyFill="1" applyBorder="1" applyAlignment="1">
      <alignment horizontal="center" vertical="center"/>
    </xf>
    <xf numFmtId="0" fontId="44" fillId="39" borderId="95" xfId="0" applyFont="1" applyFill="1" applyBorder="1" applyAlignment="1">
      <alignment horizontal="center" vertical="center" wrapText="1"/>
    </xf>
    <xf numFmtId="0" fontId="44" fillId="39" borderId="100" xfId="0" applyFont="1" applyFill="1" applyBorder="1" applyAlignment="1">
      <alignment horizontal="center" vertical="center" wrapText="1"/>
    </xf>
    <xf numFmtId="0" fontId="54" fillId="3" borderId="81" xfId="0" applyFont="1" applyFill="1" applyBorder="1" applyAlignment="1">
      <alignment horizontal="center" vertical="center" wrapText="1"/>
    </xf>
    <xf numFmtId="0" fontId="46" fillId="3" borderId="83" xfId="0" applyFont="1" applyFill="1" applyBorder="1" applyAlignment="1">
      <alignment horizontal="center" vertical="center" wrapText="1"/>
    </xf>
    <xf numFmtId="0" fontId="46" fillId="19" borderId="86" xfId="0" applyFont="1" applyFill="1" applyBorder="1" applyAlignment="1">
      <alignment horizontal="center" vertical="center" wrapText="1"/>
    </xf>
    <xf numFmtId="0" fontId="46" fillId="19" borderId="17" xfId="0" applyFont="1" applyFill="1" applyBorder="1" applyAlignment="1">
      <alignment horizontal="center" vertical="center" wrapText="1"/>
    </xf>
    <xf numFmtId="0" fontId="46" fillId="15" borderId="81" xfId="0" applyFont="1" applyFill="1" applyBorder="1" applyAlignment="1">
      <alignment horizontal="center" vertical="center" wrapText="1"/>
    </xf>
    <xf numFmtId="0" fontId="46" fillId="15" borderId="83" xfId="0" applyFont="1" applyFill="1" applyBorder="1" applyAlignment="1">
      <alignment horizontal="center" vertical="center" wrapText="1"/>
    </xf>
    <xf numFmtId="0" fontId="35" fillId="0" borderId="1" xfId="4" applyFont="1" applyBorder="1" applyAlignment="1">
      <alignment horizontal="center"/>
    </xf>
    <xf numFmtId="0" fontId="35" fillId="14" borderId="21" xfId="4" applyFont="1" applyFill="1" applyBorder="1" applyAlignment="1">
      <alignment horizontal="justify" vertical="center" wrapText="1"/>
    </xf>
    <xf numFmtId="0" fontId="35" fillId="14" borderId="4" xfId="4" applyFont="1" applyFill="1" applyBorder="1" applyAlignment="1">
      <alignment horizontal="justify" vertical="center" wrapText="1"/>
    </xf>
    <xf numFmtId="0" fontId="35" fillId="14" borderId="5" xfId="4" applyFont="1" applyFill="1" applyBorder="1" applyAlignment="1">
      <alignment horizontal="justify" vertical="center" wrapText="1"/>
    </xf>
    <xf numFmtId="0" fontId="33" fillId="0" borderId="1" xfId="4" applyBorder="1" applyAlignment="1">
      <alignment horizontal="center" vertical="center"/>
    </xf>
    <xf numFmtId="0" fontId="33" fillId="0" borderId="21" xfId="4" applyBorder="1" applyAlignment="1">
      <alignment horizontal="center" vertical="center"/>
    </xf>
    <xf numFmtId="0" fontId="33" fillId="0" borderId="4" xfId="4" applyBorder="1" applyAlignment="1">
      <alignment horizontal="center" vertical="center"/>
    </xf>
    <xf numFmtId="0" fontId="33" fillId="0" borderId="5" xfId="4" applyBorder="1" applyAlignment="1">
      <alignment horizontal="center" vertical="center"/>
    </xf>
    <xf numFmtId="0" fontId="35" fillId="11" borderId="1" xfId="4" applyFont="1" applyFill="1" applyBorder="1" applyAlignment="1">
      <alignment horizontal="center"/>
    </xf>
  </cellXfs>
  <cellStyles count="194">
    <cellStyle name="Celda de comprobación" xfId="1" builtinId="23"/>
    <cellStyle name="Excel Built-in Check Cell" xfId="30" xr:uid="{00000000-0005-0000-0000-000001000000}"/>
    <cellStyle name="Hipervínculo" xfId="191" builtinId="8"/>
    <cellStyle name="Hipervínculo 2" xfId="7" xr:uid="{00000000-0005-0000-0000-000003000000}"/>
    <cellStyle name="Hipervínculo 3" xfId="20" xr:uid="{00000000-0005-0000-0000-000004000000}"/>
    <cellStyle name="Hipervínculo 4" xfId="43" xr:uid="{00000000-0005-0000-0000-000005000000}"/>
    <cellStyle name="Hyperlink" xfId="193" xr:uid="{00000000-000B-0000-0000-000008000000}"/>
    <cellStyle name="Millares [0] 2" xfId="157" xr:uid="{00000000-0005-0000-0000-000006000000}"/>
    <cellStyle name="Millares [0] 3" xfId="171" xr:uid="{00000000-0005-0000-0000-000007000000}"/>
    <cellStyle name="Millares [0] 4" xfId="180" xr:uid="{00000000-0005-0000-0000-000008000000}"/>
    <cellStyle name="Millares 2" xfId="131" xr:uid="{00000000-0005-0000-0000-000009000000}"/>
    <cellStyle name="Normal" xfId="0" builtinId="0"/>
    <cellStyle name="Normal 10" xfId="4" xr:uid="{00000000-0005-0000-0000-00000B000000}"/>
    <cellStyle name="Normal 11" xfId="44" xr:uid="{00000000-0005-0000-0000-00000C000000}"/>
    <cellStyle name="Normal 11 2" xfId="55" xr:uid="{00000000-0005-0000-0000-00000D000000}"/>
    <cellStyle name="Normal 11 2 2" xfId="80" xr:uid="{00000000-0005-0000-0000-00000E000000}"/>
    <cellStyle name="Normal 12" xfId="39" xr:uid="{00000000-0005-0000-0000-00000F000000}"/>
    <cellStyle name="Normal 13" xfId="97" xr:uid="{00000000-0005-0000-0000-000010000000}"/>
    <cellStyle name="Normal 13 2" xfId="115" xr:uid="{00000000-0005-0000-0000-000011000000}"/>
    <cellStyle name="Normal 13 2 2" xfId="127" xr:uid="{00000000-0005-0000-0000-000012000000}"/>
    <cellStyle name="Normal 13 2 2 2" xfId="181" xr:uid="{00000000-0005-0000-0000-000013000000}"/>
    <cellStyle name="Normal 13 3" xfId="153" xr:uid="{00000000-0005-0000-0000-000014000000}"/>
    <cellStyle name="Normal 13 4" xfId="176" xr:uid="{00000000-0005-0000-0000-000015000000}"/>
    <cellStyle name="Normal 14" xfId="141" xr:uid="{00000000-0005-0000-0000-000016000000}"/>
    <cellStyle name="Normal 15" xfId="151" xr:uid="{00000000-0005-0000-0000-000017000000}"/>
    <cellStyle name="Normal 16" xfId="166" xr:uid="{00000000-0005-0000-0000-000018000000}"/>
    <cellStyle name="Normal 17" xfId="174" xr:uid="{00000000-0005-0000-0000-000019000000}"/>
    <cellStyle name="Normal 18" xfId="192" xr:uid="{2376C53B-E247-4813-8C5F-C66B1B5606CC}"/>
    <cellStyle name="Normal 2" xfId="2" xr:uid="{00000000-0005-0000-0000-00001A000000}"/>
    <cellStyle name="Normal 2 2" xfId="5" xr:uid="{00000000-0005-0000-0000-00001B000000}"/>
    <cellStyle name="Normal 2 3" xfId="16" xr:uid="{00000000-0005-0000-0000-00001C000000}"/>
    <cellStyle name="Normal 2 3 2" xfId="37" xr:uid="{00000000-0005-0000-0000-00001D000000}"/>
    <cellStyle name="Normal 2 3 2 2" xfId="41" xr:uid="{00000000-0005-0000-0000-00001E000000}"/>
    <cellStyle name="Normal 2 3 2 2 2" xfId="57" xr:uid="{00000000-0005-0000-0000-00001F000000}"/>
    <cellStyle name="Normal 2 3 2 2 2 2" xfId="82" xr:uid="{00000000-0005-0000-0000-000020000000}"/>
    <cellStyle name="Normal 2 3 2 2 3" xfId="71" xr:uid="{00000000-0005-0000-0000-000021000000}"/>
    <cellStyle name="Normal 2 3 2 2 3 2" xfId="110" xr:uid="{00000000-0005-0000-0000-000022000000}"/>
    <cellStyle name="Normal 2 3 2 2 3 2 2" xfId="133" xr:uid="{00000000-0005-0000-0000-000023000000}"/>
    <cellStyle name="Normal 2 3 2 2 3 3" xfId="113" xr:uid="{00000000-0005-0000-0000-000024000000}"/>
    <cellStyle name="Normal 2 3 2 2 3 3 2" xfId="136" xr:uid="{00000000-0005-0000-0000-000025000000}"/>
    <cellStyle name="Normal 2 3 2 3" xfId="89" xr:uid="{00000000-0005-0000-0000-000026000000}"/>
    <cellStyle name="Normal 2 3 3" xfId="50" xr:uid="{00000000-0005-0000-0000-000027000000}"/>
    <cellStyle name="Normal 2 3 3 2" xfId="87" xr:uid="{00000000-0005-0000-0000-000028000000}"/>
    <cellStyle name="Normal 2 3 3 3" xfId="149" xr:uid="{00000000-0005-0000-0000-000029000000}"/>
    <cellStyle name="Normal 2 3 4" xfId="68" xr:uid="{00000000-0005-0000-0000-00002A000000}"/>
    <cellStyle name="Normal 2 3 4 2" xfId="92" xr:uid="{00000000-0005-0000-0000-00002B000000}"/>
    <cellStyle name="Normal 2 3 4 2 2" xfId="161" xr:uid="{00000000-0005-0000-0000-00002C000000}"/>
    <cellStyle name="Normal 2 3 4 2 2 2" xfId="188" xr:uid="{00000000-0005-0000-0000-00002D000000}"/>
    <cellStyle name="Normal 2 3 4 3" xfId="139" xr:uid="{00000000-0005-0000-0000-00002E000000}"/>
    <cellStyle name="Normal 2 3 5" xfId="99" xr:uid="{00000000-0005-0000-0000-00002F000000}"/>
    <cellStyle name="Normal 2 3 5 2" xfId="117" xr:uid="{00000000-0005-0000-0000-000030000000}"/>
    <cellStyle name="Normal 2 3 5 2 2" xfId="129" xr:uid="{00000000-0005-0000-0000-000031000000}"/>
    <cellStyle name="Normal 2 3 6" xfId="106" xr:uid="{00000000-0005-0000-0000-000032000000}"/>
    <cellStyle name="Normal 2 3 6 2" xfId="124" xr:uid="{00000000-0005-0000-0000-000033000000}"/>
    <cellStyle name="Normal 2 3 6 2 2" xfId="172" xr:uid="{00000000-0005-0000-0000-000034000000}"/>
    <cellStyle name="Normal 2 3 7" xfId="155" xr:uid="{00000000-0005-0000-0000-000035000000}"/>
    <cellStyle name="Normal 2 3 8" xfId="169" xr:uid="{00000000-0005-0000-0000-000036000000}"/>
    <cellStyle name="Normal 2 3 9" xfId="178" xr:uid="{00000000-0005-0000-0000-000037000000}"/>
    <cellStyle name="Normal 2 4" xfId="22" xr:uid="{00000000-0005-0000-0000-000038000000}"/>
    <cellStyle name="Normal 2 4 2" xfId="28" xr:uid="{00000000-0005-0000-0000-000039000000}"/>
    <cellStyle name="Normal 2 4 2 2" xfId="52" xr:uid="{00000000-0005-0000-0000-00003A000000}"/>
    <cellStyle name="Normal 2 4 2 2 2" xfId="84" xr:uid="{00000000-0005-0000-0000-00003B000000}"/>
    <cellStyle name="Normal 2 4 2 2 2 2" xfId="152" xr:uid="{00000000-0005-0000-0000-00003C000000}"/>
    <cellStyle name="Normal 2 4 2 2 2 3" xfId="173" xr:uid="{00000000-0005-0000-0000-00003D000000}"/>
    <cellStyle name="Normal 2 4 2 2 2 4" xfId="175" xr:uid="{00000000-0005-0000-0000-00003E000000}"/>
    <cellStyle name="Normal 2 4 3" xfId="33" xr:uid="{00000000-0005-0000-0000-00003F000000}"/>
    <cellStyle name="Normal 2 4 4" xfId="40" xr:uid="{00000000-0005-0000-0000-000040000000}"/>
    <cellStyle name="Normal 2 4 4 2" xfId="56" xr:uid="{00000000-0005-0000-0000-000041000000}"/>
    <cellStyle name="Normal 2 4 4 2 2" xfId="81" xr:uid="{00000000-0005-0000-0000-000042000000}"/>
    <cellStyle name="Normal 2 4 4 2 3" xfId="98" xr:uid="{00000000-0005-0000-0000-000043000000}"/>
    <cellStyle name="Normal 2 4 4 2 3 2" xfId="116" xr:uid="{00000000-0005-0000-0000-000044000000}"/>
    <cellStyle name="Normal 2 4 4 2 3 2 2" xfId="128" xr:uid="{00000000-0005-0000-0000-000045000000}"/>
    <cellStyle name="Normal 2 4 4 2 4" xfId="154" xr:uid="{00000000-0005-0000-0000-000046000000}"/>
    <cellStyle name="Normal 2 4 4 2 5" xfId="168" xr:uid="{00000000-0005-0000-0000-000047000000}"/>
    <cellStyle name="Normal 2 4 4 2 6" xfId="177" xr:uid="{00000000-0005-0000-0000-000048000000}"/>
    <cellStyle name="Normal 2 4 4 3" xfId="70" xr:uid="{00000000-0005-0000-0000-000049000000}"/>
    <cellStyle name="Normal 2 4 4 3 2" xfId="109" xr:uid="{00000000-0005-0000-0000-00004A000000}"/>
    <cellStyle name="Normal 2 4 4 3 2 2" xfId="132" xr:uid="{00000000-0005-0000-0000-00004B000000}"/>
    <cellStyle name="Normal 2 4 4 3 3" xfId="112" xr:uid="{00000000-0005-0000-0000-00004C000000}"/>
    <cellStyle name="Normal 2 4 4 3 3 2" xfId="135" xr:uid="{00000000-0005-0000-0000-00004D000000}"/>
    <cellStyle name="Normal 2 4 4 4" xfId="78" xr:uid="{00000000-0005-0000-0000-00004E000000}"/>
    <cellStyle name="Normal 2 4 4 4 2" xfId="164" xr:uid="{00000000-0005-0000-0000-00004F000000}"/>
    <cellStyle name="Normal 2 4 4 4 2 2" xfId="186" xr:uid="{00000000-0005-0000-0000-000050000000}"/>
    <cellStyle name="Normal 2 4 5" xfId="61" xr:uid="{00000000-0005-0000-0000-000051000000}"/>
    <cellStyle name="Normal 2 4 5 2" xfId="147" xr:uid="{00000000-0005-0000-0000-000052000000}"/>
    <cellStyle name="Normal 2 4 6" xfId="75" xr:uid="{00000000-0005-0000-0000-000053000000}"/>
    <cellStyle name="Normal 2 4 6 2" xfId="160" xr:uid="{00000000-0005-0000-0000-000054000000}"/>
    <cellStyle name="Normal 2 4 6 2 2" xfId="189" xr:uid="{00000000-0005-0000-0000-000055000000}"/>
    <cellStyle name="Normal 2 5" xfId="46" xr:uid="{00000000-0005-0000-0000-000056000000}"/>
    <cellStyle name="Normal 2 5 2" xfId="102" xr:uid="{00000000-0005-0000-0000-000057000000}"/>
    <cellStyle name="Normal 2 5 2 2" xfId="120" xr:uid="{00000000-0005-0000-0000-000058000000}"/>
    <cellStyle name="Normal 2 6" xfId="65" xr:uid="{00000000-0005-0000-0000-000059000000}"/>
    <cellStyle name="Normal 2 6 2" xfId="95" xr:uid="{00000000-0005-0000-0000-00005A000000}"/>
    <cellStyle name="Normal 3" xfId="6" xr:uid="{00000000-0005-0000-0000-00005B000000}"/>
    <cellStyle name="Normal 4" xfId="12" xr:uid="{00000000-0005-0000-0000-00005C000000}"/>
    <cellStyle name="Normal 4 2" xfId="15" xr:uid="{00000000-0005-0000-0000-00005D000000}"/>
    <cellStyle name="Normal 4 2 2" xfId="32" xr:uid="{00000000-0005-0000-0000-00005E000000}"/>
    <cellStyle name="Normal 4 2 3" xfId="36" xr:uid="{00000000-0005-0000-0000-00005F000000}"/>
    <cellStyle name="Normal 4 2 3 2" xfId="88" xr:uid="{00000000-0005-0000-0000-000060000000}"/>
    <cellStyle name="Normal 4 2 4" xfId="49" xr:uid="{00000000-0005-0000-0000-000061000000}"/>
    <cellStyle name="Normal 4 2 5" xfId="60" xr:uid="{00000000-0005-0000-0000-000062000000}"/>
    <cellStyle name="Normal 4 2 5 2" xfId="146" xr:uid="{00000000-0005-0000-0000-000063000000}"/>
    <cellStyle name="Normal 4 2 6" xfId="67" xr:uid="{00000000-0005-0000-0000-000064000000}"/>
    <cellStyle name="Normal 4 2 6 2" xfId="91" xr:uid="{00000000-0005-0000-0000-000065000000}"/>
    <cellStyle name="Normal 4 2 6 3" xfId="138" xr:uid="{00000000-0005-0000-0000-000066000000}"/>
    <cellStyle name="Normal 4 2 7" xfId="74" xr:uid="{00000000-0005-0000-0000-000067000000}"/>
    <cellStyle name="Normal 4 2 7 2" xfId="159" xr:uid="{00000000-0005-0000-0000-000068000000}"/>
    <cellStyle name="Normal 4 2 7 2 2" xfId="184" xr:uid="{00000000-0005-0000-0000-000069000000}"/>
    <cellStyle name="Normal 4 2 8" xfId="105" xr:uid="{00000000-0005-0000-0000-00006A000000}"/>
    <cellStyle name="Normal 4 2 8 2" xfId="123" xr:uid="{00000000-0005-0000-0000-00006B000000}"/>
    <cellStyle name="Normal 4 3" xfId="21" xr:uid="{00000000-0005-0000-0000-00006C000000}"/>
    <cellStyle name="Normal 4 4" xfId="64" xr:uid="{00000000-0005-0000-0000-00006D000000}"/>
    <cellStyle name="Normal 4 4 2" xfId="94" xr:uid="{00000000-0005-0000-0000-00006E000000}"/>
    <cellStyle name="Normal 5" xfId="13" xr:uid="{00000000-0005-0000-0000-00006F000000}"/>
    <cellStyle name="Normal 5 2" xfId="24" xr:uid="{00000000-0005-0000-0000-000070000000}"/>
    <cellStyle name="Normal 5 2 2" xfId="29" xr:uid="{00000000-0005-0000-0000-000071000000}"/>
    <cellStyle name="Normal 5 2 2 2" xfId="53" xr:uid="{00000000-0005-0000-0000-000072000000}"/>
    <cellStyle name="Normal 5 2 2 2 2" xfId="85" xr:uid="{00000000-0005-0000-0000-000073000000}"/>
    <cellStyle name="Normal 5 2 3" xfId="31" xr:uid="{00000000-0005-0000-0000-000074000000}"/>
    <cellStyle name="Normal 5 2 4" xfId="59" xr:uid="{00000000-0005-0000-0000-000075000000}"/>
    <cellStyle name="Normal 5 2 4 2" xfId="145" xr:uid="{00000000-0005-0000-0000-000076000000}"/>
    <cellStyle name="Normal 5 2 5" xfId="73" xr:uid="{00000000-0005-0000-0000-000077000000}"/>
    <cellStyle name="Normal 5 2 5 2" xfId="158" xr:uid="{00000000-0005-0000-0000-000078000000}"/>
    <cellStyle name="Normal 5 2 5 2 2" xfId="183" xr:uid="{00000000-0005-0000-0000-000079000000}"/>
    <cellStyle name="Normal 5 3" xfId="45" xr:uid="{00000000-0005-0000-0000-00007A000000}"/>
    <cellStyle name="Normal 5 3 2" xfId="101" xr:uid="{00000000-0005-0000-0000-00007B000000}"/>
    <cellStyle name="Normal 5 3 2 2" xfId="119" xr:uid="{00000000-0005-0000-0000-00007C000000}"/>
    <cellStyle name="Normal 5 3 2 2 2" xfId="167" xr:uid="{00000000-0005-0000-0000-00007D000000}"/>
    <cellStyle name="Normal 5 3 2 2 3" xfId="182" xr:uid="{00000000-0005-0000-0000-00007E000000}"/>
    <cellStyle name="Normal 6" xfId="9" xr:uid="{00000000-0005-0000-0000-00007F000000}"/>
    <cellStyle name="Normal 6 2" xfId="14" xr:uid="{00000000-0005-0000-0000-000080000000}"/>
    <cellStyle name="Normal 6 2 2" xfId="25" xr:uid="{00000000-0005-0000-0000-000081000000}"/>
    <cellStyle name="Normal 6 2 2 2" xfId="35" xr:uid="{00000000-0005-0000-0000-000082000000}"/>
    <cellStyle name="Normal 6 2 2 3" xfId="63" xr:uid="{00000000-0005-0000-0000-000083000000}"/>
    <cellStyle name="Normal 6 2 2 3 2" xfId="150" xr:uid="{00000000-0005-0000-0000-000084000000}"/>
    <cellStyle name="Normal 6 2 2 4" xfId="77" xr:uid="{00000000-0005-0000-0000-000085000000}"/>
    <cellStyle name="Normal 6 2 2 4 2" xfId="163" xr:uid="{00000000-0005-0000-0000-000086000000}"/>
    <cellStyle name="Normal 6 2 2 4 2 2" xfId="185" xr:uid="{00000000-0005-0000-0000-000087000000}"/>
    <cellStyle name="Normal 6 2 3" xfId="48" xr:uid="{00000000-0005-0000-0000-000088000000}"/>
    <cellStyle name="Normal 6 2 3 2" xfId="104" xr:uid="{00000000-0005-0000-0000-000089000000}"/>
    <cellStyle name="Normal 6 2 3 2 2" xfId="122" xr:uid="{00000000-0005-0000-0000-00008A000000}"/>
    <cellStyle name="Normal 6 3" xfId="142" xr:uid="{00000000-0005-0000-0000-00008B000000}"/>
    <cellStyle name="Normal 7" xfId="18" xr:uid="{00000000-0005-0000-0000-00008C000000}"/>
    <cellStyle name="Normal 7 2" xfId="144" xr:uid="{00000000-0005-0000-0000-00008D000000}"/>
    <cellStyle name="Normal 8" xfId="19" xr:uid="{00000000-0005-0000-0000-00008E000000}"/>
    <cellStyle name="Normal 9" xfId="11" xr:uid="{00000000-0005-0000-0000-00008F000000}"/>
    <cellStyle name="Normal 9 2" xfId="26" xr:uid="{00000000-0005-0000-0000-000090000000}"/>
    <cellStyle name="Porcentaje 2" xfId="3" xr:uid="{00000000-0005-0000-0000-000092000000}"/>
    <cellStyle name="Porcentaje 2 2" xfId="17" xr:uid="{00000000-0005-0000-0000-000093000000}"/>
    <cellStyle name="Porcentaje 2 2 10" xfId="179" xr:uid="{00000000-0005-0000-0000-000094000000}"/>
    <cellStyle name="Porcentaje 2 2 2" xfId="38" xr:uid="{00000000-0005-0000-0000-000095000000}"/>
    <cellStyle name="Porcentaje 2 2 2 2" xfId="42" xr:uid="{00000000-0005-0000-0000-000096000000}"/>
    <cellStyle name="Porcentaje 2 2 2 2 2" xfId="58" xr:uid="{00000000-0005-0000-0000-000097000000}"/>
    <cellStyle name="Porcentaje 2 2 2 2 2 2" xfId="83" xr:uid="{00000000-0005-0000-0000-000098000000}"/>
    <cellStyle name="Porcentaje 2 2 2 2 3" xfId="72" xr:uid="{00000000-0005-0000-0000-000099000000}"/>
    <cellStyle name="Porcentaje 2 2 2 2 3 2" xfId="111" xr:uid="{00000000-0005-0000-0000-00009A000000}"/>
    <cellStyle name="Porcentaje 2 2 2 2 3 2 2" xfId="134" xr:uid="{00000000-0005-0000-0000-00009B000000}"/>
    <cellStyle name="Porcentaje 2 2 2 2 3 3" xfId="114" xr:uid="{00000000-0005-0000-0000-00009C000000}"/>
    <cellStyle name="Porcentaje 2 2 2 2 3 3 2" xfId="137" xr:uid="{00000000-0005-0000-0000-00009D000000}"/>
    <cellStyle name="Porcentaje 2 2 2 3" xfId="90" xr:uid="{00000000-0005-0000-0000-00009E000000}"/>
    <cellStyle name="Porcentaje 2 2 3" xfId="51" xr:uid="{00000000-0005-0000-0000-00009F000000}"/>
    <cellStyle name="Porcentaje 2 2 3 2" xfId="108" xr:uid="{00000000-0005-0000-0000-0000A0000000}"/>
    <cellStyle name="Porcentaje 2 2 3 2 2" xfId="126" xr:uid="{00000000-0005-0000-0000-0000A1000000}"/>
    <cellStyle name="Porcentaje 2 2 4" xfId="69" xr:uid="{00000000-0005-0000-0000-0000A2000000}"/>
    <cellStyle name="Porcentaje 2 2 4 2" xfId="93" xr:uid="{00000000-0005-0000-0000-0000A3000000}"/>
    <cellStyle name="Porcentaje 2 2 4 3" xfId="140" xr:uid="{00000000-0005-0000-0000-0000A4000000}"/>
    <cellStyle name="Porcentaje 2 2 5" xfId="76" xr:uid="{00000000-0005-0000-0000-0000A5000000}"/>
    <cellStyle name="Porcentaje 2 2 5 2" xfId="162" xr:uid="{00000000-0005-0000-0000-0000A6000000}"/>
    <cellStyle name="Porcentaje 2 2 5 2 2" xfId="187" xr:uid="{00000000-0005-0000-0000-0000A7000000}"/>
    <cellStyle name="Porcentaje 2 2 6" xfId="100" xr:uid="{00000000-0005-0000-0000-0000A8000000}"/>
    <cellStyle name="Porcentaje 2 2 6 2" xfId="118" xr:uid="{00000000-0005-0000-0000-0000A9000000}"/>
    <cellStyle name="Porcentaje 2 2 6 2 2" xfId="130" xr:uid="{00000000-0005-0000-0000-0000AA000000}"/>
    <cellStyle name="Porcentaje 2 2 7" xfId="107" xr:uid="{00000000-0005-0000-0000-0000AB000000}"/>
    <cellStyle name="Porcentaje 2 2 7 2" xfId="125" xr:uid="{00000000-0005-0000-0000-0000AC000000}"/>
    <cellStyle name="Porcentaje 2 2 8" xfId="156" xr:uid="{00000000-0005-0000-0000-0000AD000000}"/>
    <cellStyle name="Porcentaje 2 2 9" xfId="170" xr:uid="{00000000-0005-0000-0000-0000AE000000}"/>
    <cellStyle name="Porcentaje 2 3" xfId="23" xr:uid="{00000000-0005-0000-0000-0000AF000000}"/>
    <cellStyle name="Porcentaje 2 3 2" xfId="34" xr:uid="{00000000-0005-0000-0000-0000B0000000}"/>
    <cellStyle name="Porcentaje 2 3 3" xfId="54" xr:uid="{00000000-0005-0000-0000-0000B1000000}"/>
    <cellStyle name="Porcentaje 2 3 3 2" xfId="86" xr:uid="{00000000-0005-0000-0000-0000B2000000}"/>
    <cellStyle name="Porcentaje 2 3 4" xfId="62" xr:uid="{00000000-0005-0000-0000-0000B3000000}"/>
    <cellStyle name="Porcentaje 2 3 4 2" xfId="148" xr:uid="{00000000-0005-0000-0000-0000B4000000}"/>
    <cellStyle name="Porcentaje 2 3 5" xfId="79" xr:uid="{00000000-0005-0000-0000-0000B5000000}"/>
    <cellStyle name="Porcentaje 2 3 5 2" xfId="165" xr:uid="{00000000-0005-0000-0000-0000B6000000}"/>
    <cellStyle name="Porcentaje 2 3 5 2 2" xfId="190" xr:uid="{00000000-0005-0000-0000-0000B7000000}"/>
    <cellStyle name="Porcentaje 2 4" xfId="47" xr:uid="{00000000-0005-0000-0000-0000B8000000}"/>
    <cellStyle name="Porcentaje 2 4 2" xfId="103" xr:uid="{00000000-0005-0000-0000-0000B9000000}"/>
    <cellStyle name="Porcentaje 2 4 2 2" xfId="121" xr:uid="{00000000-0005-0000-0000-0000BA000000}"/>
    <cellStyle name="Porcentaje 2 5" xfId="66" xr:uid="{00000000-0005-0000-0000-0000BB000000}"/>
    <cellStyle name="Porcentaje 2 5 2" xfId="96" xr:uid="{00000000-0005-0000-0000-0000BC000000}"/>
    <cellStyle name="Porcentaje 3" xfId="8" xr:uid="{00000000-0005-0000-0000-0000BD000000}"/>
    <cellStyle name="Porcentaje 5" xfId="10" xr:uid="{00000000-0005-0000-0000-0000BE000000}"/>
    <cellStyle name="Porcentaje 5 2" xfId="27" xr:uid="{00000000-0005-0000-0000-0000BF000000}"/>
    <cellStyle name="Porcentaje 5 3" xfId="143" xr:uid="{00000000-0005-0000-0000-0000C0000000}"/>
  </cellStyles>
  <dxfs count="484">
    <dxf>
      <font>
        <color theme="1"/>
      </font>
      <fill>
        <patternFill patternType="solid">
          <bgColor rgb="FF92D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1"/>
      </font>
      <fill>
        <patternFill patternType="solid">
          <bgColor theme="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00B0F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00FF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92D05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56B-4D92-9337-F4FE5634F5E6}"/>
              </c:ext>
            </c:extLst>
          </c:dPt>
          <c:dPt>
            <c:idx val="1"/>
            <c:bubble3D val="0"/>
            <c:spPr>
              <a:solidFill>
                <a:srgbClr val="FFFF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A-556B-4D92-9337-F4FE5634F5E6}"/>
              </c:ext>
            </c:extLst>
          </c:dPt>
          <c:dPt>
            <c:idx val="2"/>
            <c:bubble3D val="0"/>
            <c:spPr>
              <a:solidFill>
                <a:srgbClr val="FFC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0-556B-4D92-9337-F4FE5634F5E6}"/>
              </c:ext>
            </c:extLst>
          </c:dPt>
          <c:dPt>
            <c:idx val="3"/>
            <c:bubble3D val="0"/>
            <c:spPr>
              <a:solidFill>
                <a:srgbClr val="FF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6-1637-4E74-96D9-B66FCEACB74A}"/>
              </c:ext>
            </c:extLst>
          </c:dPt>
          <c:dLbls>
            <c:dLbl>
              <c:idx val="0"/>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56B-4D92-9337-F4FE5634F5E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0"/>
            <c:showCatName val="1"/>
            <c:showSerName val="0"/>
            <c:showPercent val="1"/>
            <c:showBubbleSize val="0"/>
            <c:showLeaderLines val="0"/>
            <c:extLst>
              <c:ext xmlns:c15="http://schemas.microsoft.com/office/drawing/2012/chart" uri="{CE6537A1-D6FC-4f65-9D91-7224C49458BB}"/>
            </c:extLst>
          </c:dLbls>
          <c:cat>
            <c:strRef>
              <c:f>'DETALLE INTERNOS'!$AB$10:$AB$13</c:f>
              <c:strCache>
                <c:ptCount val="4"/>
                <c:pt idx="0">
                  <c:v>Sobresaliente</c:v>
                </c:pt>
                <c:pt idx="1">
                  <c:v>Aceptable</c:v>
                </c:pt>
                <c:pt idx="2">
                  <c:v>Inaceptable </c:v>
                </c:pt>
                <c:pt idx="3">
                  <c:v>CrÍtico </c:v>
                </c:pt>
              </c:strCache>
            </c:strRef>
          </c:cat>
          <c:val>
            <c:numRef>
              <c:f>'DETALLE INTERNOS'!$AD$10:$AD$13</c:f>
              <c:numCache>
                <c:formatCode>0</c:formatCode>
                <c:ptCount val="4"/>
                <c:pt idx="0" formatCode="General">
                  <c:v>9</c:v>
                </c:pt>
                <c:pt idx="1">
                  <c:v>4</c:v>
                </c:pt>
                <c:pt idx="2">
                  <c:v>3</c:v>
                </c:pt>
                <c:pt idx="3" formatCode="General">
                  <c:v>2</c:v>
                </c:pt>
              </c:numCache>
            </c:numRef>
          </c:val>
          <c:extLst>
            <c:ext xmlns:c16="http://schemas.microsoft.com/office/drawing/2014/chart" uri="{C3380CC4-5D6E-409C-BE32-E72D297353CC}">
              <c16:uniqueId val="{00000000-556B-4D92-9337-F4FE5634F5E6}"/>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Avance Planes de mejoramiento internos - corte II semestre 2024</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0344386692809011E-2"/>
          <c:y val="2.4608496783720554E-2"/>
          <c:w val="0.92183824250576774"/>
          <c:h val="0.61204731243331523"/>
        </c:manualLayout>
      </c:layout>
      <c:barChart>
        <c:barDir val="col"/>
        <c:grouping val="clustered"/>
        <c:varyColors val="0"/>
        <c:ser>
          <c:idx val="0"/>
          <c:order val="0"/>
          <c:tx>
            <c:strRef>
              <c:f>'DETALLE INTERNOS'!$C$32</c:f>
              <c:strCache>
                <c:ptCount val="1"/>
                <c:pt idx="0">
                  <c:v>Avance Diciembre 2024</c:v>
                </c:pt>
              </c:strCache>
            </c:strRef>
          </c:tx>
          <c:spPr>
            <a:solidFill>
              <a:schemeClr val="accent1"/>
            </a:solidFill>
            <a:ln>
              <a:solidFill>
                <a:schemeClr val="accent5">
                  <a:lumMod val="75000"/>
                </a:schemeClr>
              </a:solid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'DETALLE INTERNOS'!$B$33:$B$49</c:f>
              <c:strCache>
                <c:ptCount val="12"/>
                <c:pt idx="0">
                  <c:v>Bienestar Universitario</c:v>
                </c:pt>
                <c:pt idx="1">
                  <c:v>Talento Humano</c:v>
                </c:pt>
                <c:pt idx="2">
                  <c:v>Legalización Avances</c:v>
                </c:pt>
                <c:pt idx="3">
                  <c:v>Registro de Notas</c:v>
                </c:pt>
                <c:pt idx="4">
                  <c:v>SGSST</c:v>
                </c:pt>
                <c:pt idx="5">
                  <c:v>Reliquidacion Matricula </c:v>
                </c:pt>
                <c:pt idx="6">
                  <c:v>Matrícula Financiera</c:v>
                </c:pt>
                <c:pt idx="7">
                  <c:v>VRI</c:v>
                </c:pt>
                <c:pt idx="8">
                  <c:v>Regionalización</c:v>
                </c:pt>
                <c:pt idx="9">
                  <c:v>Planes académica </c:v>
                </c:pt>
                <c:pt idx="10">
                  <c:v>Profesor invitado</c:v>
                </c:pt>
                <c:pt idx="11">
                  <c:v>PETI</c:v>
                </c:pt>
              </c:strCache>
            </c:strRef>
          </c:cat>
          <c:val>
            <c:numRef>
              <c:f>'DETALLE INTERNOS'!$C$33:$C$49</c:f>
              <c:numCache>
                <c:formatCode>0%</c:formatCode>
                <c:ptCount val="12"/>
                <c:pt idx="0">
                  <c:v>0.82199999999999984</c:v>
                </c:pt>
                <c:pt idx="1">
                  <c:v>0.85964912280701766</c:v>
                </c:pt>
                <c:pt idx="2">
                  <c:v>0.82500000000000007</c:v>
                </c:pt>
                <c:pt idx="3">
                  <c:v>0.44958333333333333</c:v>
                </c:pt>
                <c:pt idx="4">
                  <c:v>0.78809523809523818</c:v>
                </c:pt>
                <c:pt idx="5">
                  <c:v>0.47499999999999998</c:v>
                </c:pt>
                <c:pt idx="6">
                  <c:v>0.85</c:v>
                </c:pt>
                <c:pt idx="7">
                  <c:v>0.10952380952380954</c:v>
                </c:pt>
                <c:pt idx="8">
                  <c:v>0.50961538461538458</c:v>
                </c:pt>
                <c:pt idx="9">
                  <c:v>0.37812500000000004</c:v>
                </c:pt>
                <c:pt idx="10">
                  <c:v>0.75</c:v>
                </c:pt>
                <c:pt idx="11">
                  <c:v>0.24338235294117652</c:v>
                </c:pt>
              </c:numCache>
            </c:numRef>
          </c:val>
          <c:extLst>
            <c:ext xmlns:c16="http://schemas.microsoft.com/office/drawing/2014/chart" uri="{C3380CC4-5D6E-409C-BE32-E72D297353CC}">
              <c16:uniqueId val="{00000000-4F3F-4CCD-B0F5-E6C8A108762F}"/>
            </c:ext>
          </c:extLst>
        </c:ser>
        <c:dLbls>
          <c:showLegendKey val="0"/>
          <c:showVal val="0"/>
          <c:showCatName val="0"/>
          <c:showSerName val="0"/>
          <c:showPercent val="0"/>
          <c:showBubbleSize val="0"/>
        </c:dLbls>
        <c:gapWidth val="150"/>
        <c:axId val="275719296"/>
        <c:axId val="275720832"/>
      </c:barChart>
      <c:lineChart>
        <c:grouping val="standard"/>
        <c:varyColors val="0"/>
        <c:ser>
          <c:idx val="1"/>
          <c:order val="1"/>
          <c:tx>
            <c:strRef>
              <c:f>'DETALLE INTERNOS'!$D$32</c:f>
              <c:strCache>
                <c:ptCount val="1"/>
                <c:pt idx="0">
                  <c:v>Nivel Crítico</c:v>
                </c:pt>
              </c:strCache>
            </c:strRef>
          </c:tx>
          <c:spPr>
            <a:ln w="28575" cap="rnd">
              <a:solidFill>
                <a:srgbClr val="FF0000"/>
              </a:solidFill>
              <a:round/>
            </a:ln>
            <a:effectLst/>
          </c:spPr>
          <c:marker>
            <c:symbol val="none"/>
          </c:marker>
          <c:cat>
            <c:strRef>
              <c:f>'DETALLE INTERNOS'!$B$33:$B$49</c:f>
              <c:strCache>
                <c:ptCount val="12"/>
                <c:pt idx="0">
                  <c:v>Bienestar Universitario</c:v>
                </c:pt>
                <c:pt idx="1">
                  <c:v>Talento Humano</c:v>
                </c:pt>
                <c:pt idx="2">
                  <c:v>Legalización Avances</c:v>
                </c:pt>
                <c:pt idx="3">
                  <c:v>Registro de Notas</c:v>
                </c:pt>
                <c:pt idx="4">
                  <c:v>SGSST</c:v>
                </c:pt>
                <c:pt idx="5">
                  <c:v>Reliquidacion Matricula </c:v>
                </c:pt>
                <c:pt idx="6">
                  <c:v>Matrícula Financiera</c:v>
                </c:pt>
                <c:pt idx="7">
                  <c:v>VRI</c:v>
                </c:pt>
                <c:pt idx="8">
                  <c:v>Regionalización</c:v>
                </c:pt>
                <c:pt idx="9">
                  <c:v>Planes académica </c:v>
                </c:pt>
                <c:pt idx="10">
                  <c:v>Profesor invitado</c:v>
                </c:pt>
                <c:pt idx="11">
                  <c:v>PETI</c:v>
                </c:pt>
              </c:strCache>
            </c:strRef>
          </c:cat>
          <c:val>
            <c:numRef>
              <c:f>'DETALLE INTERNOS'!$D$33:$D$49</c:f>
              <c:numCache>
                <c:formatCode>0%</c:formatCode>
                <c:ptCount val="12"/>
                <c:pt idx="0">
                  <c:v>0.3</c:v>
                </c:pt>
                <c:pt idx="1">
                  <c:v>0.3</c:v>
                </c:pt>
                <c:pt idx="2">
                  <c:v>0.3</c:v>
                </c:pt>
                <c:pt idx="3">
                  <c:v>0.3</c:v>
                </c:pt>
                <c:pt idx="4">
                  <c:v>0.3</c:v>
                </c:pt>
                <c:pt idx="5">
                  <c:v>0.3</c:v>
                </c:pt>
                <c:pt idx="6">
                  <c:v>0.3</c:v>
                </c:pt>
                <c:pt idx="7">
                  <c:v>0.3</c:v>
                </c:pt>
                <c:pt idx="8">
                  <c:v>0.3</c:v>
                </c:pt>
                <c:pt idx="9">
                  <c:v>0.3</c:v>
                </c:pt>
                <c:pt idx="10">
                  <c:v>0.3</c:v>
                </c:pt>
                <c:pt idx="11">
                  <c:v>0.3</c:v>
                </c:pt>
              </c:numCache>
            </c:numRef>
          </c:val>
          <c:smooth val="0"/>
          <c:extLst>
            <c:ext xmlns:c16="http://schemas.microsoft.com/office/drawing/2014/chart" uri="{C3380CC4-5D6E-409C-BE32-E72D297353CC}">
              <c16:uniqueId val="{00000001-4F3F-4CCD-B0F5-E6C8A108762F}"/>
            </c:ext>
          </c:extLst>
        </c:ser>
        <c:ser>
          <c:idx val="2"/>
          <c:order val="2"/>
          <c:tx>
            <c:strRef>
              <c:f>'DETALLE INTERNOS'!$E$32</c:f>
              <c:strCache>
                <c:ptCount val="1"/>
                <c:pt idx="0">
                  <c:v>Nivel aceptable</c:v>
                </c:pt>
              </c:strCache>
            </c:strRef>
          </c:tx>
          <c:spPr>
            <a:ln w="28575" cap="rnd">
              <a:solidFill>
                <a:srgbClr val="FFFF00"/>
              </a:solidFill>
              <a:round/>
            </a:ln>
            <a:effectLst/>
          </c:spPr>
          <c:marker>
            <c:symbol val="none"/>
          </c:marker>
          <c:cat>
            <c:strRef>
              <c:f>'DETALLE INTERNOS'!$B$33:$B$49</c:f>
              <c:strCache>
                <c:ptCount val="12"/>
                <c:pt idx="0">
                  <c:v>Bienestar Universitario</c:v>
                </c:pt>
                <c:pt idx="1">
                  <c:v>Talento Humano</c:v>
                </c:pt>
                <c:pt idx="2">
                  <c:v>Legalización Avances</c:v>
                </c:pt>
                <c:pt idx="3">
                  <c:v>Registro de Notas</c:v>
                </c:pt>
                <c:pt idx="4">
                  <c:v>SGSST</c:v>
                </c:pt>
                <c:pt idx="5">
                  <c:v>Reliquidacion Matricula </c:v>
                </c:pt>
                <c:pt idx="6">
                  <c:v>Matrícula Financiera</c:v>
                </c:pt>
                <c:pt idx="7">
                  <c:v>VRI</c:v>
                </c:pt>
                <c:pt idx="8">
                  <c:v>Regionalización</c:v>
                </c:pt>
                <c:pt idx="9">
                  <c:v>Planes académica </c:v>
                </c:pt>
                <c:pt idx="10">
                  <c:v>Profesor invitado</c:v>
                </c:pt>
                <c:pt idx="11">
                  <c:v>PETI</c:v>
                </c:pt>
              </c:strCache>
            </c:strRef>
          </c:cat>
          <c:val>
            <c:numRef>
              <c:f>'DETALLE INTERNOS'!$E$33:$E$49</c:f>
              <c:numCache>
                <c:formatCode>0%</c:formatCode>
                <c:ptCount val="12"/>
                <c:pt idx="0">
                  <c:v>0.5</c:v>
                </c:pt>
                <c:pt idx="1">
                  <c:v>0.5</c:v>
                </c:pt>
                <c:pt idx="2">
                  <c:v>0.5</c:v>
                </c:pt>
                <c:pt idx="3">
                  <c:v>0.5</c:v>
                </c:pt>
                <c:pt idx="4">
                  <c:v>0.5</c:v>
                </c:pt>
                <c:pt idx="5">
                  <c:v>0.5</c:v>
                </c:pt>
                <c:pt idx="6">
                  <c:v>0.5</c:v>
                </c:pt>
                <c:pt idx="7">
                  <c:v>0.5</c:v>
                </c:pt>
                <c:pt idx="8">
                  <c:v>0.5</c:v>
                </c:pt>
                <c:pt idx="9">
                  <c:v>0.5</c:v>
                </c:pt>
                <c:pt idx="10">
                  <c:v>0.5</c:v>
                </c:pt>
                <c:pt idx="11">
                  <c:v>0.5</c:v>
                </c:pt>
              </c:numCache>
            </c:numRef>
          </c:val>
          <c:smooth val="0"/>
          <c:extLst>
            <c:ext xmlns:c16="http://schemas.microsoft.com/office/drawing/2014/chart" uri="{C3380CC4-5D6E-409C-BE32-E72D297353CC}">
              <c16:uniqueId val="{00000002-4F3F-4CCD-B0F5-E6C8A108762F}"/>
            </c:ext>
          </c:extLst>
        </c:ser>
        <c:ser>
          <c:idx val="3"/>
          <c:order val="3"/>
          <c:tx>
            <c:strRef>
              <c:f>'DETALLE INTERNOS'!$F$32</c:f>
              <c:strCache>
                <c:ptCount val="1"/>
                <c:pt idx="0">
                  <c:v>Nivel sobresaliente</c:v>
                </c:pt>
              </c:strCache>
            </c:strRef>
          </c:tx>
          <c:spPr>
            <a:ln w="28575" cap="rnd">
              <a:solidFill>
                <a:srgbClr val="00B050"/>
              </a:solidFill>
              <a:round/>
            </a:ln>
            <a:effectLst/>
          </c:spPr>
          <c:marker>
            <c:symbol val="none"/>
          </c:marker>
          <c:cat>
            <c:strRef>
              <c:f>'DETALLE INTERNOS'!$B$33:$B$49</c:f>
              <c:strCache>
                <c:ptCount val="12"/>
                <c:pt idx="0">
                  <c:v>Bienestar Universitario</c:v>
                </c:pt>
                <c:pt idx="1">
                  <c:v>Talento Humano</c:v>
                </c:pt>
                <c:pt idx="2">
                  <c:v>Legalización Avances</c:v>
                </c:pt>
                <c:pt idx="3">
                  <c:v>Registro de Notas</c:v>
                </c:pt>
                <c:pt idx="4">
                  <c:v>SGSST</c:v>
                </c:pt>
                <c:pt idx="5">
                  <c:v>Reliquidacion Matricula </c:v>
                </c:pt>
                <c:pt idx="6">
                  <c:v>Matrícula Financiera</c:v>
                </c:pt>
                <c:pt idx="7">
                  <c:v>VRI</c:v>
                </c:pt>
                <c:pt idx="8">
                  <c:v>Regionalización</c:v>
                </c:pt>
                <c:pt idx="9">
                  <c:v>Planes académica </c:v>
                </c:pt>
                <c:pt idx="10">
                  <c:v>Profesor invitado</c:v>
                </c:pt>
                <c:pt idx="11">
                  <c:v>PETI</c:v>
                </c:pt>
              </c:strCache>
            </c:strRef>
          </c:cat>
          <c:val>
            <c:numRef>
              <c:f>'DETALLE INTERNOS'!$F$33:$F$49</c:f>
              <c:numCache>
                <c:formatCode>0%</c:formatCode>
                <c:ptCount val="12"/>
                <c:pt idx="0">
                  <c:v>0.8</c:v>
                </c:pt>
                <c:pt idx="1">
                  <c:v>0.8</c:v>
                </c:pt>
                <c:pt idx="2">
                  <c:v>0.8</c:v>
                </c:pt>
                <c:pt idx="3">
                  <c:v>0.8</c:v>
                </c:pt>
                <c:pt idx="4">
                  <c:v>0.8</c:v>
                </c:pt>
                <c:pt idx="5">
                  <c:v>0.8</c:v>
                </c:pt>
                <c:pt idx="6">
                  <c:v>0.8</c:v>
                </c:pt>
                <c:pt idx="7">
                  <c:v>0.8</c:v>
                </c:pt>
                <c:pt idx="8">
                  <c:v>0.8</c:v>
                </c:pt>
                <c:pt idx="9">
                  <c:v>0.8</c:v>
                </c:pt>
                <c:pt idx="10">
                  <c:v>0.8</c:v>
                </c:pt>
                <c:pt idx="11">
                  <c:v>0.8</c:v>
                </c:pt>
              </c:numCache>
            </c:numRef>
          </c:val>
          <c:smooth val="0"/>
          <c:extLst>
            <c:ext xmlns:c16="http://schemas.microsoft.com/office/drawing/2014/chart" uri="{C3380CC4-5D6E-409C-BE32-E72D297353CC}">
              <c16:uniqueId val="{00000003-4F3F-4CCD-B0F5-E6C8A108762F}"/>
            </c:ext>
          </c:extLst>
        </c:ser>
        <c:dLbls>
          <c:showLegendKey val="0"/>
          <c:showVal val="0"/>
          <c:showCatName val="0"/>
          <c:showSerName val="0"/>
          <c:showPercent val="0"/>
          <c:showBubbleSize val="0"/>
        </c:dLbls>
        <c:marker val="1"/>
        <c:smooth val="0"/>
        <c:axId val="275719296"/>
        <c:axId val="275720832"/>
      </c:lineChart>
      <c:catAx>
        <c:axId val="27571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baseline="0">
                <a:solidFill>
                  <a:srgbClr val="000000"/>
                </a:solidFill>
                <a:latin typeface="Arial" panose="020B0604020202020204" pitchFamily="34" charset="0"/>
                <a:ea typeface="+mn-ea"/>
                <a:cs typeface="Arial" panose="020B0604020202020204" pitchFamily="34" charset="0"/>
              </a:defRPr>
            </a:pPr>
            <a:endParaRPr lang="en-US"/>
          </a:p>
        </c:txPr>
        <c:crossAx val="275720832"/>
        <c:crosses val="autoZero"/>
        <c:auto val="1"/>
        <c:lblAlgn val="ctr"/>
        <c:lblOffset val="100"/>
        <c:noMultiLvlLbl val="0"/>
      </c:catAx>
      <c:valAx>
        <c:axId val="275720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5719296"/>
        <c:crosses val="autoZero"/>
        <c:crossBetween val="between"/>
      </c:valAx>
      <c:spPr>
        <a:noFill/>
        <a:ln>
          <a:noFill/>
        </a:ln>
        <a:effectLst/>
      </c:spPr>
    </c:plotArea>
    <c:legend>
      <c:legendPos val="b"/>
      <c:layout>
        <c:manualLayout>
          <c:xMode val="edge"/>
          <c:yMode val="edge"/>
          <c:x val="0.1460101308992427"/>
          <c:y val="0.96083602347971142"/>
          <c:w val="0.72698048888467259"/>
          <c:h val="3.9163971906826564E-2"/>
        </c:manualLayout>
      </c:layout>
      <c:overlay val="0"/>
      <c:spPr>
        <a:noFill/>
        <a:ln>
          <a:noFill/>
        </a:ln>
        <a:effectLst/>
      </c:spPr>
      <c:txPr>
        <a:bodyPr rot="0" spcFirstLastPara="1" vertOverflow="ellipsis" vert="horz" wrap="square" anchor="ctr" anchorCtr="1"/>
        <a:lstStyle/>
        <a:p>
          <a:pPr>
            <a:defRPr sz="900" b="1" i="0" u="none" strike="noStrike" kern="1200" baseline="0">
              <a:solidFill>
                <a:srgbClr val="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Comparativo avance PM CGR corte Junio 2024 - Diciembre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'DETALLE CGR'!$O$13</c:f>
              <c:strCache>
                <c:ptCount val="1"/>
                <c:pt idx="0">
                  <c:v>Promedio JUN 2024-1</c:v>
                </c:pt>
              </c:strCache>
            </c:strRef>
          </c:tx>
          <c:spPr>
            <a:solidFill>
              <a:schemeClr val="accent1"/>
            </a:solidFill>
            <a:ln>
              <a:noFill/>
            </a:ln>
            <a:effectLst/>
          </c:spPr>
          <c:invertIfNegative val="0"/>
          <c:dLbls>
            <c:dLbl>
              <c:idx val="2"/>
              <c:layout>
                <c:manualLayout>
                  <c:x val="-1.9512195121951219E-2"/>
                  <c:y val="-2.46052885483499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A0-40AB-AD2C-A9750496DF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'DETALLE CGR'!$N$14:$N$19</c:f>
              <c:strCache>
                <c:ptCount val="6"/>
                <c:pt idx="1">
                  <c:v>Auditoría 2019</c:v>
                </c:pt>
                <c:pt idx="2">
                  <c:v>Auditoría 2020</c:v>
                </c:pt>
                <c:pt idx="3">
                  <c:v>Auditoría 2021</c:v>
                </c:pt>
                <c:pt idx="4">
                  <c:v>Auditoría 2023</c:v>
                </c:pt>
                <c:pt idx="5">
                  <c:v>Promedio Plan</c:v>
                </c:pt>
              </c:strCache>
            </c:strRef>
          </c:cat>
          <c:val>
            <c:numRef>
              <c:f>'DETALLE CGR'!$O$14:$O$19</c:f>
              <c:numCache>
                <c:formatCode>0%</c:formatCode>
                <c:ptCount val="6"/>
                <c:pt idx="1">
                  <c:v>0.96923076923076912</c:v>
                </c:pt>
                <c:pt idx="2" formatCode="0.00%">
                  <c:v>0.94433333333333325</c:v>
                </c:pt>
                <c:pt idx="3">
                  <c:v>0.96222222222222209</c:v>
                </c:pt>
                <c:pt idx="4">
                  <c:v>0</c:v>
                </c:pt>
                <c:pt idx="5">
                  <c:v>0.95859544159544152</c:v>
                </c:pt>
              </c:numCache>
            </c:numRef>
          </c:val>
          <c:extLst>
            <c:ext xmlns:c16="http://schemas.microsoft.com/office/drawing/2014/chart" uri="{C3380CC4-5D6E-409C-BE32-E72D297353CC}">
              <c16:uniqueId val="{00000001-0BAD-4B8F-9E12-E866F145D936}"/>
            </c:ext>
          </c:extLst>
        </c:ser>
        <c:ser>
          <c:idx val="1"/>
          <c:order val="1"/>
          <c:tx>
            <c:strRef>
              <c:f>'DETALLE CGR'!$P$13</c:f>
              <c:strCache>
                <c:ptCount val="1"/>
                <c:pt idx="0">
                  <c:v>Promedio DIC 2024-2</c:v>
                </c:pt>
              </c:strCache>
            </c:strRef>
          </c:tx>
          <c:spPr>
            <a:solidFill>
              <a:schemeClr val="accent2"/>
            </a:solidFill>
            <a:ln>
              <a:noFill/>
            </a:ln>
            <a:effectLst/>
          </c:spPr>
          <c:invertIfNegative val="0"/>
          <c:dLbls>
            <c:dLbl>
              <c:idx val="2"/>
              <c:layout>
                <c:manualLayout>
                  <c:x val="1.1707317073170661E-2"/>
                  <c:y val="-2.2144759693514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A0-40AB-AD2C-A9750496DF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'DETALLE CGR'!$N$14:$N$19</c:f>
              <c:strCache>
                <c:ptCount val="6"/>
                <c:pt idx="1">
                  <c:v>Auditoría 2019</c:v>
                </c:pt>
                <c:pt idx="2">
                  <c:v>Auditoría 2020</c:v>
                </c:pt>
                <c:pt idx="3">
                  <c:v>Auditoría 2021</c:v>
                </c:pt>
                <c:pt idx="4">
                  <c:v>Auditoría 2023</c:v>
                </c:pt>
                <c:pt idx="5">
                  <c:v>Promedio Plan</c:v>
                </c:pt>
              </c:strCache>
            </c:strRef>
          </c:cat>
          <c:val>
            <c:numRef>
              <c:f>'DETALLE CGR'!$P$14:$P$19</c:f>
              <c:numCache>
                <c:formatCode>0%</c:formatCode>
                <c:ptCount val="6"/>
                <c:pt idx="1">
                  <c:v>1</c:v>
                </c:pt>
                <c:pt idx="2" formatCode="0.00%">
                  <c:v>0.94430000000000003</c:v>
                </c:pt>
                <c:pt idx="3">
                  <c:v>0.97</c:v>
                </c:pt>
                <c:pt idx="4">
                  <c:v>0.74603174603174605</c:v>
                </c:pt>
                <c:pt idx="5">
                  <c:v>0.91508293650793648</c:v>
                </c:pt>
              </c:numCache>
            </c:numRef>
          </c:val>
          <c:extLst>
            <c:ext xmlns:c16="http://schemas.microsoft.com/office/drawing/2014/chart" uri="{C3380CC4-5D6E-409C-BE32-E72D297353CC}">
              <c16:uniqueId val="{00000003-0BAD-4B8F-9E12-E866F145D936}"/>
            </c:ext>
          </c:extLst>
        </c:ser>
        <c:dLbls>
          <c:showLegendKey val="0"/>
          <c:showVal val="0"/>
          <c:showCatName val="0"/>
          <c:showSerName val="0"/>
          <c:showPercent val="0"/>
          <c:showBubbleSize val="0"/>
        </c:dLbls>
        <c:gapWidth val="155"/>
        <c:axId val="703486983"/>
        <c:axId val="703489031"/>
      </c:barChart>
      <c:catAx>
        <c:axId val="70348698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489031"/>
        <c:crosses val="autoZero"/>
        <c:auto val="1"/>
        <c:lblAlgn val="ctr"/>
        <c:lblOffset val="100"/>
        <c:noMultiLvlLbl val="0"/>
      </c:catAx>
      <c:valAx>
        <c:axId val="703489031"/>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03486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152400</xdr:rowOff>
    </xdr:from>
    <xdr:to>
      <xdr:col>1</xdr:col>
      <xdr:colOff>486831</xdr:colOff>
      <xdr:row>0</xdr:row>
      <xdr:rowOff>1452421</xdr:rowOff>
    </xdr:to>
    <xdr:pic>
      <xdr:nvPicPr>
        <xdr:cNvPr id="2" name="Imagen 1">
          <a:extLst>
            <a:ext uri="{FF2B5EF4-FFF2-40B4-BE49-F238E27FC236}">
              <a16:creationId xmlns:a16="http://schemas.microsoft.com/office/drawing/2014/main" id="{88DDB965-619B-4821-B2FA-57272BB08C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52400"/>
          <a:ext cx="972606" cy="1300021"/>
        </a:xfrm>
        <a:prstGeom prst="rect">
          <a:avLst/>
        </a:prstGeom>
      </xdr:spPr>
    </xdr:pic>
    <xdr:clientData/>
  </xdr:twoCellAnchor>
  <xdr:twoCellAnchor editAs="oneCell">
    <xdr:from>
      <xdr:col>14</xdr:col>
      <xdr:colOff>762000</xdr:colOff>
      <xdr:row>0</xdr:row>
      <xdr:rowOff>180975</xdr:rowOff>
    </xdr:from>
    <xdr:to>
      <xdr:col>15</xdr:col>
      <xdr:colOff>534456</xdr:colOff>
      <xdr:row>0</xdr:row>
      <xdr:rowOff>1480996</xdr:rowOff>
    </xdr:to>
    <xdr:pic>
      <xdr:nvPicPr>
        <xdr:cNvPr id="3" name="Imagen 2">
          <a:extLst>
            <a:ext uri="{FF2B5EF4-FFF2-40B4-BE49-F238E27FC236}">
              <a16:creationId xmlns:a16="http://schemas.microsoft.com/office/drawing/2014/main" id="{C7459B74-B72A-4014-BF8F-9AF4EA33E2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50725" y="180975"/>
          <a:ext cx="972606" cy="1300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198337</xdr:colOff>
      <xdr:row>0</xdr:row>
      <xdr:rowOff>69056</xdr:rowOff>
    </xdr:from>
    <xdr:to>
      <xdr:col>1</xdr:col>
      <xdr:colOff>361318</xdr:colOff>
      <xdr:row>1</xdr:row>
      <xdr:rowOff>35577</xdr:rowOff>
    </xdr:to>
    <xdr:pic>
      <xdr:nvPicPr>
        <xdr:cNvPr id="5" name="Imagen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337" y="69056"/>
          <a:ext cx="972606" cy="1300021"/>
        </a:xfrm>
        <a:prstGeom prst="rect">
          <a:avLst/>
        </a:prstGeom>
      </xdr:spPr>
    </xdr:pic>
    <xdr:clientData/>
  </xdr:twoCellAnchor>
  <xdr:twoCellAnchor editAs="oneCell">
    <xdr:from>
      <xdr:col>14</xdr:col>
      <xdr:colOff>299357</xdr:colOff>
      <xdr:row>0</xdr:row>
      <xdr:rowOff>0</xdr:rowOff>
    </xdr:from>
    <xdr:to>
      <xdr:col>15</xdr:col>
      <xdr:colOff>475945</xdr:colOff>
      <xdr:row>0</xdr:row>
      <xdr:rowOff>1300021</xdr:rowOff>
    </xdr:to>
    <xdr:pic>
      <xdr:nvPicPr>
        <xdr:cNvPr id="3" name="Imagen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40157" y="0"/>
          <a:ext cx="976688" cy="13000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428625</xdr:colOff>
      <xdr:row>0</xdr:row>
      <xdr:rowOff>0</xdr:rowOff>
    </xdr:from>
    <xdr:to>
      <xdr:col>1</xdr:col>
      <xdr:colOff>383788</xdr:colOff>
      <xdr:row>1</xdr:row>
      <xdr:rowOff>18908</xdr:rowOff>
    </xdr:to>
    <xdr:pic>
      <xdr:nvPicPr>
        <xdr:cNvPr id="2" name="Imagen 1">
          <a:extLst>
            <a:ext uri="{FF2B5EF4-FFF2-40B4-BE49-F238E27FC236}">
              <a16:creationId xmlns:a16="http://schemas.microsoft.com/office/drawing/2014/main" id="{14487D34-D2E1-47E5-A235-2D6FB0652E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0"/>
          <a:ext cx="974338" cy="129525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323850</xdr:colOff>
      <xdr:row>0</xdr:row>
      <xdr:rowOff>0</xdr:rowOff>
    </xdr:from>
    <xdr:to>
      <xdr:col>1</xdr:col>
      <xdr:colOff>390525</xdr:colOff>
      <xdr:row>0</xdr:row>
      <xdr:rowOff>1200150</xdr:rowOff>
    </xdr:to>
    <xdr:pic>
      <xdr:nvPicPr>
        <xdr:cNvPr id="12" name="Imagen 3">
          <a:extLst>
            <a:ext uri="{FF2B5EF4-FFF2-40B4-BE49-F238E27FC236}">
              <a16:creationId xmlns:a16="http://schemas.microsoft.com/office/drawing/2014/main" id="{A3D91C5B-6D4E-41F8-8A32-F3253D58D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0"/>
          <a:ext cx="885825" cy="1200150"/>
        </a:xfrm>
        <a:prstGeom prst="rect">
          <a:avLst/>
        </a:prstGeom>
      </xdr:spPr>
    </xdr:pic>
    <xdr:clientData/>
  </xdr:twoCellAnchor>
  <xdr:twoCellAnchor editAs="oneCell">
    <xdr:from>
      <xdr:col>14</xdr:col>
      <xdr:colOff>647700</xdr:colOff>
      <xdr:row>0</xdr:row>
      <xdr:rowOff>0</xdr:rowOff>
    </xdr:from>
    <xdr:to>
      <xdr:col>15</xdr:col>
      <xdr:colOff>447675</xdr:colOff>
      <xdr:row>0</xdr:row>
      <xdr:rowOff>1200150</xdr:rowOff>
    </xdr:to>
    <xdr:pic>
      <xdr:nvPicPr>
        <xdr:cNvPr id="15" name="Imagen 4">
          <a:extLst>
            <a:ext uri="{FF2B5EF4-FFF2-40B4-BE49-F238E27FC236}">
              <a16:creationId xmlns:a16="http://schemas.microsoft.com/office/drawing/2014/main" id="{81EA945E-5CA9-43D4-B3B8-1C675791127F}"/>
            </a:ext>
            <a:ext uri="{147F2762-F138-4A5C-976F-8EAC2B608ADB}">
              <a16:predDERef xmlns:a16="http://schemas.microsoft.com/office/drawing/2014/main" pred="{A3D91C5B-6D4E-41F8-8A32-F3253D58D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2564" y="0"/>
          <a:ext cx="891020" cy="12001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xdr:col>
      <xdr:colOff>534456</xdr:colOff>
      <xdr:row>0</xdr:row>
      <xdr:rowOff>1300021</xdr:rowOff>
    </xdr:to>
    <xdr:pic>
      <xdr:nvPicPr>
        <xdr:cNvPr id="2" name="Imagen 1">
          <a:extLst>
            <a:ext uri="{FF2B5EF4-FFF2-40B4-BE49-F238E27FC236}">
              <a16:creationId xmlns:a16="http://schemas.microsoft.com/office/drawing/2014/main" id="{26E993BB-50E9-44C1-816B-1317EDDA5D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0"/>
          <a:ext cx="972606" cy="1300021"/>
        </a:xfrm>
        <a:prstGeom prst="rect">
          <a:avLst/>
        </a:prstGeom>
      </xdr:spPr>
    </xdr:pic>
    <xdr:clientData/>
  </xdr:twoCellAnchor>
  <xdr:twoCellAnchor editAs="oneCell">
    <xdr:from>
      <xdr:col>14</xdr:col>
      <xdr:colOff>534266</xdr:colOff>
      <xdr:row>0</xdr:row>
      <xdr:rowOff>190500</xdr:rowOff>
    </xdr:from>
    <xdr:to>
      <xdr:col>15</xdr:col>
      <xdr:colOff>706772</xdr:colOff>
      <xdr:row>1</xdr:row>
      <xdr:rowOff>139703</xdr:rowOff>
    </xdr:to>
    <xdr:pic>
      <xdr:nvPicPr>
        <xdr:cNvPr id="3" name="Imagen 2">
          <a:extLst>
            <a:ext uri="{FF2B5EF4-FFF2-40B4-BE49-F238E27FC236}">
              <a16:creationId xmlns:a16="http://schemas.microsoft.com/office/drawing/2014/main" id="{F2F1372A-6CCC-4141-B83C-005B8BA6A249}"/>
            </a:ext>
            <a:ext uri="{147F2762-F138-4A5C-976F-8EAC2B608ADB}">
              <a16:predDERef xmlns:a16="http://schemas.microsoft.com/office/drawing/2014/main" pred="{26E993BB-50E9-44C1-816B-1317EDDA5D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32266" y="190500"/>
          <a:ext cx="969142" cy="13000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xdr:col>
      <xdr:colOff>534456</xdr:colOff>
      <xdr:row>0</xdr:row>
      <xdr:rowOff>1300021</xdr:rowOff>
    </xdr:to>
    <xdr:pic>
      <xdr:nvPicPr>
        <xdr:cNvPr id="2" name="Imagen 1">
          <a:extLst>
            <a:ext uri="{FF2B5EF4-FFF2-40B4-BE49-F238E27FC236}">
              <a16:creationId xmlns:a16="http://schemas.microsoft.com/office/drawing/2014/main" id="{160DF25D-2DED-4B42-9217-2069B7CCD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0"/>
          <a:ext cx="972606" cy="1300021"/>
        </a:xfrm>
        <a:prstGeom prst="rect">
          <a:avLst/>
        </a:prstGeom>
      </xdr:spPr>
    </xdr:pic>
    <xdr:clientData/>
  </xdr:twoCellAnchor>
  <xdr:twoCellAnchor editAs="oneCell">
    <xdr:from>
      <xdr:col>14</xdr:col>
      <xdr:colOff>534266</xdr:colOff>
      <xdr:row>0</xdr:row>
      <xdr:rowOff>190500</xdr:rowOff>
    </xdr:from>
    <xdr:to>
      <xdr:col>15</xdr:col>
      <xdr:colOff>706772</xdr:colOff>
      <xdr:row>1</xdr:row>
      <xdr:rowOff>139703</xdr:rowOff>
    </xdr:to>
    <xdr:pic>
      <xdr:nvPicPr>
        <xdr:cNvPr id="3" name="Imagen 2">
          <a:extLst>
            <a:ext uri="{FF2B5EF4-FFF2-40B4-BE49-F238E27FC236}">
              <a16:creationId xmlns:a16="http://schemas.microsoft.com/office/drawing/2014/main" id="{E52533F1-7769-4B8C-BC13-C026E6E7325C}"/>
            </a:ext>
            <a:ext uri="{147F2762-F138-4A5C-976F-8EAC2B608ADB}">
              <a16:predDERef xmlns:a16="http://schemas.microsoft.com/office/drawing/2014/main" pred="{160DF25D-2DED-4B42-9217-2069B7CCD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994341" y="190500"/>
          <a:ext cx="972606" cy="129222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xdr:col>
      <xdr:colOff>534456</xdr:colOff>
      <xdr:row>0</xdr:row>
      <xdr:rowOff>1300021</xdr:rowOff>
    </xdr:to>
    <xdr:pic>
      <xdr:nvPicPr>
        <xdr:cNvPr id="2" name="Imagen 1">
          <a:extLst>
            <a:ext uri="{FF2B5EF4-FFF2-40B4-BE49-F238E27FC236}">
              <a16:creationId xmlns:a16="http://schemas.microsoft.com/office/drawing/2014/main" id="{05AFC59D-AF4D-421D-8CD4-A67BB59DD0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0"/>
          <a:ext cx="972606" cy="1300021"/>
        </a:xfrm>
        <a:prstGeom prst="rect">
          <a:avLst/>
        </a:prstGeom>
      </xdr:spPr>
    </xdr:pic>
    <xdr:clientData/>
  </xdr:twoCellAnchor>
  <xdr:twoCellAnchor editAs="oneCell">
    <xdr:from>
      <xdr:col>14</xdr:col>
      <xdr:colOff>534266</xdr:colOff>
      <xdr:row>0</xdr:row>
      <xdr:rowOff>190500</xdr:rowOff>
    </xdr:from>
    <xdr:to>
      <xdr:col>15</xdr:col>
      <xdr:colOff>706772</xdr:colOff>
      <xdr:row>1</xdr:row>
      <xdr:rowOff>111128</xdr:rowOff>
    </xdr:to>
    <xdr:pic>
      <xdr:nvPicPr>
        <xdr:cNvPr id="3" name="Imagen 2">
          <a:extLst>
            <a:ext uri="{FF2B5EF4-FFF2-40B4-BE49-F238E27FC236}">
              <a16:creationId xmlns:a16="http://schemas.microsoft.com/office/drawing/2014/main" id="{A8EE9BAD-4992-4706-8122-C9EA9C94D3C1}"/>
            </a:ext>
            <a:ext uri="{147F2762-F138-4A5C-976F-8EAC2B608ADB}">
              <a16:predDERef xmlns:a16="http://schemas.microsoft.com/office/drawing/2014/main" pred="{05AFC59D-AF4D-421D-8CD4-A67BB59DD0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94191" y="190500"/>
          <a:ext cx="972606" cy="129222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xdr:col>
      <xdr:colOff>534456</xdr:colOff>
      <xdr:row>0</xdr:row>
      <xdr:rowOff>1300021</xdr:rowOff>
    </xdr:to>
    <xdr:pic>
      <xdr:nvPicPr>
        <xdr:cNvPr id="2" name="Imagen 1">
          <a:extLst>
            <a:ext uri="{FF2B5EF4-FFF2-40B4-BE49-F238E27FC236}">
              <a16:creationId xmlns:a16="http://schemas.microsoft.com/office/drawing/2014/main" id="{DF9FA887-F34A-481D-9CB2-56CBDBC65B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0"/>
          <a:ext cx="972606" cy="1300021"/>
        </a:xfrm>
        <a:prstGeom prst="rect">
          <a:avLst/>
        </a:prstGeom>
      </xdr:spPr>
    </xdr:pic>
    <xdr:clientData/>
  </xdr:twoCellAnchor>
  <xdr:twoCellAnchor editAs="oneCell">
    <xdr:from>
      <xdr:col>14</xdr:col>
      <xdr:colOff>534266</xdr:colOff>
      <xdr:row>0</xdr:row>
      <xdr:rowOff>190500</xdr:rowOff>
    </xdr:from>
    <xdr:to>
      <xdr:col>15</xdr:col>
      <xdr:colOff>706772</xdr:colOff>
      <xdr:row>1</xdr:row>
      <xdr:rowOff>111128</xdr:rowOff>
    </xdr:to>
    <xdr:pic>
      <xdr:nvPicPr>
        <xdr:cNvPr id="3" name="Imagen 2">
          <a:extLst>
            <a:ext uri="{FF2B5EF4-FFF2-40B4-BE49-F238E27FC236}">
              <a16:creationId xmlns:a16="http://schemas.microsoft.com/office/drawing/2014/main" id="{1B547C59-69E8-4790-9475-E04475CB8951}"/>
            </a:ext>
            <a:ext uri="{147F2762-F138-4A5C-976F-8EAC2B608ADB}">
              <a16:predDERef xmlns:a16="http://schemas.microsoft.com/office/drawing/2014/main" pred="{DF9FA887-F34A-481D-9CB2-56CBDBC65B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94191" y="190500"/>
          <a:ext cx="972606" cy="129222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xdr:col>
      <xdr:colOff>534456</xdr:colOff>
      <xdr:row>0</xdr:row>
      <xdr:rowOff>1300021</xdr:rowOff>
    </xdr:to>
    <xdr:pic>
      <xdr:nvPicPr>
        <xdr:cNvPr id="2" name="Imagen 1">
          <a:extLst>
            <a:ext uri="{FF2B5EF4-FFF2-40B4-BE49-F238E27FC236}">
              <a16:creationId xmlns:a16="http://schemas.microsoft.com/office/drawing/2014/main" id="{81AB513B-498F-4C2E-9DDA-F96FC28280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0"/>
          <a:ext cx="972606" cy="1300021"/>
        </a:xfrm>
        <a:prstGeom prst="rect">
          <a:avLst/>
        </a:prstGeom>
      </xdr:spPr>
    </xdr:pic>
    <xdr:clientData/>
  </xdr:twoCellAnchor>
  <xdr:twoCellAnchor editAs="oneCell">
    <xdr:from>
      <xdr:col>14</xdr:col>
      <xdr:colOff>534266</xdr:colOff>
      <xdr:row>0</xdr:row>
      <xdr:rowOff>190500</xdr:rowOff>
    </xdr:from>
    <xdr:to>
      <xdr:col>15</xdr:col>
      <xdr:colOff>706772</xdr:colOff>
      <xdr:row>1</xdr:row>
      <xdr:rowOff>139703</xdr:rowOff>
    </xdr:to>
    <xdr:pic>
      <xdr:nvPicPr>
        <xdr:cNvPr id="3" name="Imagen 2">
          <a:extLst>
            <a:ext uri="{FF2B5EF4-FFF2-40B4-BE49-F238E27FC236}">
              <a16:creationId xmlns:a16="http://schemas.microsoft.com/office/drawing/2014/main" id="{9DBA1346-2848-4A04-8C36-A30EFED6B220}"/>
            </a:ext>
            <a:ext uri="{147F2762-F138-4A5C-976F-8EAC2B608ADB}">
              <a16:predDERef xmlns:a16="http://schemas.microsoft.com/office/drawing/2014/main" pred="{81AB513B-498F-4C2E-9DDA-F96FC28280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1341" y="190500"/>
          <a:ext cx="972606" cy="129222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xdr:col>
      <xdr:colOff>534456</xdr:colOff>
      <xdr:row>0</xdr:row>
      <xdr:rowOff>1300021</xdr:rowOff>
    </xdr:to>
    <xdr:pic>
      <xdr:nvPicPr>
        <xdr:cNvPr id="2" name="Imagen 1">
          <a:extLst>
            <a:ext uri="{FF2B5EF4-FFF2-40B4-BE49-F238E27FC236}">
              <a16:creationId xmlns:a16="http://schemas.microsoft.com/office/drawing/2014/main" id="{1EAE5F86-D68D-4C95-ABCC-2E794C267C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0"/>
          <a:ext cx="972606" cy="1300021"/>
        </a:xfrm>
        <a:prstGeom prst="rect">
          <a:avLst/>
        </a:prstGeom>
      </xdr:spPr>
    </xdr:pic>
    <xdr:clientData/>
  </xdr:twoCellAnchor>
  <xdr:twoCellAnchor editAs="oneCell">
    <xdr:from>
      <xdr:col>14</xdr:col>
      <xdr:colOff>534266</xdr:colOff>
      <xdr:row>0</xdr:row>
      <xdr:rowOff>190500</xdr:rowOff>
    </xdr:from>
    <xdr:to>
      <xdr:col>15</xdr:col>
      <xdr:colOff>706772</xdr:colOff>
      <xdr:row>1</xdr:row>
      <xdr:rowOff>139703</xdr:rowOff>
    </xdr:to>
    <xdr:pic>
      <xdr:nvPicPr>
        <xdr:cNvPr id="3" name="Imagen 2">
          <a:extLst>
            <a:ext uri="{FF2B5EF4-FFF2-40B4-BE49-F238E27FC236}">
              <a16:creationId xmlns:a16="http://schemas.microsoft.com/office/drawing/2014/main" id="{15679B55-6711-4FE1-B6E6-1EFB2C613519}"/>
            </a:ext>
            <a:ext uri="{147F2762-F138-4A5C-976F-8EAC2B608ADB}">
              <a16:predDERef xmlns:a16="http://schemas.microsoft.com/office/drawing/2014/main" pred="{1EAE5F86-D68D-4C95-ABCC-2E794C267C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1341" y="190500"/>
          <a:ext cx="972606" cy="129222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2</xdr:row>
      <xdr:rowOff>0</xdr:rowOff>
    </xdr:from>
    <xdr:ext cx="654713" cy="573713"/>
    <xdr:pic>
      <xdr:nvPicPr>
        <xdr:cNvPr id="2" name="3 Imagen">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67150"/>
          <a:ext cx="654713" cy="57371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323850</xdr:colOff>
      <xdr:row>0</xdr:row>
      <xdr:rowOff>0</xdr:rowOff>
    </xdr:from>
    <xdr:to>
      <xdr:col>1</xdr:col>
      <xdr:colOff>517138</xdr:colOff>
      <xdr:row>0</xdr:row>
      <xdr:rowOff>1300021</xdr:rowOff>
    </xdr:to>
    <xdr:pic>
      <xdr:nvPicPr>
        <xdr:cNvPr id="2" name="Imagen 1">
          <a:extLst>
            <a:ext uri="{FF2B5EF4-FFF2-40B4-BE49-F238E27FC236}">
              <a16:creationId xmlns:a16="http://schemas.microsoft.com/office/drawing/2014/main" id="{87C7CB98-5FCA-441B-ACBB-5541A7F4D5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0"/>
          <a:ext cx="974338" cy="1300021"/>
        </a:xfrm>
        <a:prstGeom prst="rect">
          <a:avLst/>
        </a:prstGeom>
      </xdr:spPr>
    </xdr:pic>
    <xdr:clientData/>
  </xdr:twoCellAnchor>
  <xdr:twoCellAnchor editAs="oneCell">
    <xdr:from>
      <xdr:col>14</xdr:col>
      <xdr:colOff>514350</xdr:colOff>
      <xdr:row>0</xdr:row>
      <xdr:rowOff>0</xdr:rowOff>
    </xdr:from>
    <xdr:to>
      <xdr:col>15</xdr:col>
      <xdr:colOff>688588</xdr:colOff>
      <xdr:row>0</xdr:row>
      <xdr:rowOff>1300021</xdr:rowOff>
    </xdr:to>
    <xdr:pic>
      <xdr:nvPicPr>
        <xdr:cNvPr id="3" name="Imagen 2">
          <a:extLst>
            <a:ext uri="{FF2B5EF4-FFF2-40B4-BE49-F238E27FC236}">
              <a16:creationId xmlns:a16="http://schemas.microsoft.com/office/drawing/2014/main" id="{26C6D2E7-237E-4591-80F0-5C714DF74D14}"/>
            </a:ext>
            <a:ext uri="{147F2762-F138-4A5C-976F-8EAC2B608ADB}">
              <a16:predDERef xmlns:a16="http://schemas.microsoft.com/office/drawing/2014/main" pred="{87C7CB98-5FCA-441B-ACBB-5541A7F4D5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40925" y="0"/>
          <a:ext cx="974338" cy="1300021"/>
        </a:xfrm>
        <a:prstGeom prst="rect">
          <a:avLst/>
        </a:prstGeom>
      </xdr:spPr>
    </xdr:pic>
    <xdr:clientData/>
  </xdr:twoCellAnchor>
  <xdr:twoCellAnchor editAs="oneCell">
    <xdr:from>
      <xdr:col>0</xdr:col>
      <xdr:colOff>323850</xdr:colOff>
      <xdr:row>0</xdr:row>
      <xdr:rowOff>0</xdr:rowOff>
    </xdr:from>
    <xdr:to>
      <xdr:col>1</xdr:col>
      <xdr:colOff>517138</xdr:colOff>
      <xdr:row>0</xdr:row>
      <xdr:rowOff>1300021</xdr:rowOff>
    </xdr:to>
    <xdr:pic>
      <xdr:nvPicPr>
        <xdr:cNvPr id="4" name="Imagen 1">
          <a:extLst>
            <a:ext uri="{FF2B5EF4-FFF2-40B4-BE49-F238E27FC236}">
              <a16:creationId xmlns:a16="http://schemas.microsoft.com/office/drawing/2014/main" id="{7E776B4B-DD3E-4002-9E7D-B71009C2A400}"/>
            </a:ext>
            <a:ext uri="{147F2762-F138-4A5C-976F-8EAC2B608ADB}">
              <a16:predDERef xmlns:a16="http://schemas.microsoft.com/office/drawing/2014/main" pred="{26C6D2E7-237E-4591-80F0-5C714DF74D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0"/>
          <a:ext cx="974338" cy="1300021"/>
        </a:xfrm>
        <a:prstGeom prst="rect">
          <a:avLst/>
        </a:prstGeom>
      </xdr:spPr>
    </xdr:pic>
    <xdr:clientData/>
  </xdr:twoCellAnchor>
  <xdr:twoCellAnchor editAs="oneCell">
    <xdr:from>
      <xdr:col>14</xdr:col>
      <xdr:colOff>514350</xdr:colOff>
      <xdr:row>0</xdr:row>
      <xdr:rowOff>0</xdr:rowOff>
    </xdr:from>
    <xdr:to>
      <xdr:col>15</xdr:col>
      <xdr:colOff>688588</xdr:colOff>
      <xdr:row>0</xdr:row>
      <xdr:rowOff>1300021</xdr:rowOff>
    </xdr:to>
    <xdr:pic>
      <xdr:nvPicPr>
        <xdr:cNvPr id="5" name="Imagen 2">
          <a:extLst>
            <a:ext uri="{FF2B5EF4-FFF2-40B4-BE49-F238E27FC236}">
              <a16:creationId xmlns:a16="http://schemas.microsoft.com/office/drawing/2014/main" id="{DF31F67B-3A0B-43B2-B691-344DB2B35C8A}"/>
            </a:ext>
            <a:ext uri="{147F2762-F138-4A5C-976F-8EAC2B608ADB}">
              <a16:predDERef xmlns:a16="http://schemas.microsoft.com/office/drawing/2014/main" pred="{7E776B4B-DD3E-4002-9E7D-B71009C2A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79100" y="0"/>
          <a:ext cx="974338" cy="1300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654713" cy="573713"/>
    <xdr:pic>
      <xdr:nvPicPr>
        <xdr:cNvPr id="2" name="3 Imagen">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54713" cy="573713"/>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xdr:from>
      <xdr:col>30</xdr:col>
      <xdr:colOff>592592</xdr:colOff>
      <xdr:row>15</xdr:row>
      <xdr:rowOff>261598</xdr:rowOff>
    </xdr:from>
    <xdr:to>
      <xdr:col>35</xdr:col>
      <xdr:colOff>123485</xdr:colOff>
      <xdr:row>32</xdr:row>
      <xdr:rowOff>14288</xdr:rowOff>
    </xdr:to>
    <xdr:graphicFrame macro="">
      <xdr:nvGraphicFramePr>
        <xdr:cNvPr id="3" name="Gráfico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133350</xdr:colOff>
      <xdr:row>25</xdr:row>
      <xdr:rowOff>114300</xdr:rowOff>
    </xdr:from>
    <xdr:to>
      <xdr:col>23</xdr:col>
      <xdr:colOff>457200</xdr:colOff>
      <xdr:row>71</xdr:row>
      <xdr:rowOff>114300</xdr:rowOff>
    </xdr:to>
    <xdr:graphicFrame macro="">
      <xdr:nvGraphicFramePr>
        <xdr:cNvPr id="14" name="Gráfico 4">
          <a:extLst>
            <a:ext uri="{FF2B5EF4-FFF2-40B4-BE49-F238E27FC236}">
              <a16:creationId xmlns:a16="http://schemas.microsoft.com/office/drawing/2014/main" id="{00000000-0008-0000-1B00-000005000000}"/>
            </a:ext>
            <a:ext uri="{147F2762-F138-4A5C-976F-8EAC2B608ADB}">
              <a16:predDERef xmlns:a16="http://schemas.microsoft.com/office/drawing/2014/main" pre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17</xdr:col>
      <xdr:colOff>243418</xdr:colOff>
      <xdr:row>11</xdr:row>
      <xdr:rowOff>161925</xdr:rowOff>
    </xdr:from>
    <xdr:to>
      <xdr:col>25</xdr:col>
      <xdr:colOff>656168</xdr:colOff>
      <xdr:row>33</xdr:row>
      <xdr:rowOff>137584</xdr:rowOff>
    </xdr:to>
    <xdr:graphicFrame macro="">
      <xdr:nvGraphicFramePr>
        <xdr:cNvPr id="6" name="Gráfico 5">
          <a:extLst>
            <a:ext uri="{FF2B5EF4-FFF2-40B4-BE49-F238E27FC236}">
              <a16:creationId xmlns:a16="http://schemas.microsoft.com/office/drawing/2014/main" id="{E5614B30-F5CB-6380-1C84-ABCBD81A31C4}"/>
            </a:ext>
            <a:ext uri="{147F2762-F138-4A5C-976F-8EAC2B608ADB}">
              <a16:predDERef xmlns:a16="http://schemas.microsoft.com/office/drawing/2014/main" pred="{A5343A81-6210-36C9-10BE-5A8AB05D71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323850</xdr:colOff>
      <xdr:row>0</xdr:row>
      <xdr:rowOff>152400</xdr:rowOff>
    </xdr:from>
    <xdr:to>
      <xdr:col>1</xdr:col>
      <xdr:colOff>486831</xdr:colOff>
      <xdr:row>0</xdr:row>
      <xdr:rowOff>1452421</xdr:rowOff>
    </xdr:to>
    <xdr:pic>
      <xdr:nvPicPr>
        <xdr:cNvPr id="2" name="Imagen 1">
          <a:extLst>
            <a:ext uri="{FF2B5EF4-FFF2-40B4-BE49-F238E27FC236}">
              <a16:creationId xmlns:a16="http://schemas.microsoft.com/office/drawing/2014/main" id="{56E69B64-33BC-4538-8B94-A233895CD7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52400"/>
          <a:ext cx="1020231" cy="13000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303112</xdr:colOff>
      <xdr:row>0</xdr:row>
      <xdr:rowOff>11906</xdr:rowOff>
    </xdr:from>
    <xdr:to>
      <xdr:col>1</xdr:col>
      <xdr:colOff>466093</xdr:colOff>
      <xdr:row>0</xdr:row>
      <xdr:rowOff>1311927</xdr:rowOff>
    </xdr:to>
    <xdr:pic>
      <xdr:nvPicPr>
        <xdr:cNvPr id="2" name="Imagen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112" y="11906"/>
          <a:ext cx="972606" cy="1300021"/>
        </a:xfrm>
        <a:prstGeom prst="rect">
          <a:avLst/>
        </a:prstGeom>
      </xdr:spPr>
    </xdr:pic>
    <xdr:clientData/>
  </xdr:twoCellAnchor>
  <xdr:twoCellAnchor editAs="oneCell">
    <xdr:from>
      <xdr:col>14</xdr:col>
      <xdr:colOff>299357</xdr:colOff>
      <xdr:row>0</xdr:row>
      <xdr:rowOff>0</xdr:rowOff>
    </xdr:from>
    <xdr:to>
      <xdr:col>15</xdr:col>
      <xdr:colOff>475945</xdr:colOff>
      <xdr:row>0</xdr:row>
      <xdr:rowOff>1300021</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73632" y="0"/>
          <a:ext cx="976688" cy="1300021"/>
        </a:xfrm>
        <a:prstGeom prst="rect">
          <a:avLst/>
        </a:prstGeom>
      </xdr:spPr>
    </xdr:pic>
    <xdr:clientData/>
  </xdr:twoCellAnchor>
  <xdr:twoCellAnchor editAs="oneCell">
    <xdr:from>
      <xdr:col>29</xdr:col>
      <xdr:colOff>3752852</xdr:colOff>
      <xdr:row>24</xdr:row>
      <xdr:rowOff>190497</xdr:rowOff>
    </xdr:from>
    <xdr:to>
      <xdr:col>29</xdr:col>
      <xdr:colOff>4808852</xdr:colOff>
      <xdr:row>28</xdr:row>
      <xdr:rowOff>160744</xdr:rowOff>
    </xdr:to>
    <xdr:pic>
      <xdr:nvPicPr>
        <xdr:cNvPr id="4" name="Imagen 3">
          <a:extLst>
            <a:ext uri="{FF2B5EF4-FFF2-40B4-BE49-F238E27FC236}">
              <a16:creationId xmlns:a16="http://schemas.microsoft.com/office/drawing/2014/main" id="{00000000-0008-0000-1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91352" y="35452047"/>
          <a:ext cx="1056000" cy="7036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809625</xdr:colOff>
      <xdr:row>0</xdr:row>
      <xdr:rowOff>180975</xdr:rowOff>
    </xdr:from>
    <xdr:to>
      <xdr:col>1</xdr:col>
      <xdr:colOff>300718</xdr:colOff>
      <xdr:row>1</xdr:row>
      <xdr:rowOff>758</xdr:rowOff>
    </xdr:to>
    <xdr:pic>
      <xdr:nvPicPr>
        <xdr:cNvPr id="3" name="Imagen 3">
          <a:extLst>
            <a:ext uri="{FF2B5EF4-FFF2-40B4-BE49-F238E27FC236}">
              <a16:creationId xmlns:a16="http://schemas.microsoft.com/office/drawing/2014/main" id="{43CC5EC2-8498-4C53-9798-EC547E21A0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180975"/>
          <a:ext cx="748393" cy="1019933"/>
        </a:xfrm>
        <a:prstGeom prst="rect">
          <a:avLst/>
        </a:prstGeom>
      </xdr:spPr>
    </xdr:pic>
    <xdr:clientData/>
  </xdr:twoCellAnchor>
  <xdr:twoCellAnchor editAs="oneCell">
    <xdr:from>
      <xdr:col>14</xdr:col>
      <xdr:colOff>571500</xdr:colOff>
      <xdr:row>0</xdr:row>
      <xdr:rowOff>228600</xdr:rowOff>
    </xdr:from>
    <xdr:to>
      <xdr:col>15</xdr:col>
      <xdr:colOff>519793</xdr:colOff>
      <xdr:row>1</xdr:row>
      <xdr:rowOff>48383</xdr:rowOff>
    </xdr:to>
    <xdr:pic>
      <xdr:nvPicPr>
        <xdr:cNvPr id="4" name="Imagen 3">
          <a:extLst>
            <a:ext uri="{FF2B5EF4-FFF2-40B4-BE49-F238E27FC236}">
              <a16:creationId xmlns:a16="http://schemas.microsoft.com/office/drawing/2014/main" id="{74BC22F7-6DDD-48D2-9644-2A085C72A1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97975" y="228600"/>
          <a:ext cx="748393" cy="10199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898072</xdr:colOff>
      <xdr:row>0</xdr:row>
      <xdr:rowOff>27214</xdr:rowOff>
    </xdr:from>
    <xdr:to>
      <xdr:col>1</xdr:col>
      <xdr:colOff>751796</xdr:colOff>
      <xdr:row>0</xdr:row>
      <xdr:rowOff>1047147</xdr:rowOff>
    </xdr:to>
    <xdr:pic>
      <xdr:nvPicPr>
        <xdr:cNvPr id="2" name="Imagen 3">
          <a:extLst>
            <a:ext uri="{FF2B5EF4-FFF2-40B4-BE49-F238E27FC236}">
              <a16:creationId xmlns:a16="http://schemas.microsoft.com/office/drawing/2014/main" id="{E5EC8EAB-9480-49D4-B9E9-D82437F265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8072" y="27214"/>
          <a:ext cx="753156" cy="1019933"/>
        </a:xfrm>
        <a:prstGeom prst="rect">
          <a:avLst/>
        </a:prstGeom>
      </xdr:spPr>
    </xdr:pic>
    <xdr:clientData/>
  </xdr:twoCellAnchor>
  <xdr:twoCellAnchor editAs="oneCell">
    <xdr:from>
      <xdr:col>14</xdr:col>
      <xdr:colOff>503464</xdr:colOff>
      <xdr:row>0</xdr:row>
      <xdr:rowOff>163285</xdr:rowOff>
    </xdr:from>
    <xdr:to>
      <xdr:col>15</xdr:col>
      <xdr:colOff>426584</xdr:colOff>
      <xdr:row>1</xdr:row>
      <xdr:rowOff>81039</xdr:rowOff>
    </xdr:to>
    <xdr:pic>
      <xdr:nvPicPr>
        <xdr:cNvPr id="3" name="Imagen 3">
          <a:extLst>
            <a:ext uri="{FF2B5EF4-FFF2-40B4-BE49-F238E27FC236}">
              <a16:creationId xmlns:a16="http://schemas.microsoft.com/office/drawing/2014/main" id="{426E4793-0566-4061-833E-2686AD55A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08785" y="163285"/>
          <a:ext cx="753156" cy="10199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904875</xdr:colOff>
      <xdr:row>0</xdr:row>
      <xdr:rowOff>0</xdr:rowOff>
    </xdr:from>
    <xdr:to>
      <xdr:col>2</xdr:col>
      <xdr:colOff>48306</xdr:colOff>
      <xdr:row>2</xdr:row>
      <xdr:rowOff>10283</xdr:rowOff>
    </xdr:to>
    <xdr:pic>
      <xdr:nvPicPr>
        <xdr:cNvPr id="2" name="Imagen 3">
          <a:extLst>
            <a:ext uri="{FF2B5EF4-FFF2-40B4-BE49-F238E27FC236}">
              <a16:creationId xmlns:a16="http://schemas.microsoft.com/office/drawing/2014/main" id="{F8D426DE-777C-48DA-BFBC-CF195293B5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5" y="0"/>
          <a:ext cx="753156" cy="1019933"/>
        </a:xfrm>
        <a:prstGeom prst="rect">
          <a:avLst/>
        </a:prstGeom>
      </xdr:spPr>
    </xdr:pic>
    <xdr:clientData/>
  </xdr:twoCellAnchor>
  <xdr:twoCellAnchor editAs="oneCell">
    <xdr:from>
      <xdr:col>14</xdr:col>
      <xdr:colOff>581025</xdr:colOff>
      <xdr:row>0</xdr:row>
      <xdr:rowOff>0</xdr:rowOff>
    </xdr:from>
    <xdr:to>
      <xdr:col>15</xdr:col>
      <xdr:colOff>438830</xdr:colOff>
      <xdr:row>2</xdr:row>
      <xdr:rowOff>10283</xdr:rowOff>
    </xdr:to>
    <xdr:pic>
      <xdr:nvPicPr>
        <xdr:cNvPr id="3" name="Imagen 3">
          <a:extLst>
            <a:ext uri="{FF2B5EF4-FFF2-40B4-BE49-F238E27FC236}">
              <a16:creationId xmlns:a16="http://schemas.microsoft.com/office/drawing/2014/main" id="{1FBC2246-47F7-49C3-989B-705E64D8EB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50450" y="0"/>
          <a:ext cx="753156" cy="10199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95931</xdr:colOff>
      <xdr:row>0</xdr:row>
      <xdr:rowOff>1019933</xdr:rowOff>
    </xdr:to>
    <xdr:pic>
      <xdr:nvPicPr>
        <xdr:cNvPr id="2" name="Imagen 3">
          <a:extLst>
            <a:ext uri="{FF2B5EF4-FFF2-40B4-BE49-F238E27FC236}">
              <a16:creationId xmlns:a16="http://schemas.microsoft.com/office/drawing/2014/main" id="{FE417AC2-EDC3-486A-A96E-5D2A7B4389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53156" cy="1019933"/>
        </a:xfrm>
        <a:prstGeom prst="rect">
          <a:avLst/>
        </a:prstGeom>
      </xdr:spPr>
    </xdr:pic>
    <xdr:clientData/>
  </xdr:twoCellAnchor>
  <xdr:twoCellAnchor editAs="oneCell">
    <xdr:from>
      <xdr:col>14</xdr:col>
      <xdr:colOff>257175</xdr:colOff>
      <xdr:row>0</xdr:row>
      <xdr:rowOff>342900</xdr:rowOff>
    </xdr:from>
    <xdr:to>
      <xdr:col>15</xdr:col>
      <xdr:colOff>381681</xdr:colOff>
      <xdr:row>0</xdr:row>
      <xdr:rowOff>1362833</xdr:rowOff>
    </xdr:to>
    <xdr:pic>
      <xdr:nvPicPr>
        <xdr:cNvPr id="3" name="Imagen 3">
          <a:extLst>
            <a:ext uri="{FF2B5EF4-FFF2-40B4-BE49-F238E27FC236}">
              <a16:creationId xmlns:a16="http://schemas.microsoft.com/office/drawing/2014/main" id="{FA0CF9B2-3C60-475C-93BE-9AAA7F90C5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12125" y="342900"/>
          <a:ext cx="753156" cy="101993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303112</xdr:colOff>
      <xdr:row>0</xdr:row>
      <xdr:rowOff>11906</xdr:rowOff>
    </xdr:from>
    <xdr:to>
      <xdr:col>1</xdr:col>
      <xdr:colOff>466093</xdr:colOff>
      <xdr:row>0</xdr:row>
      <xdr:rowOff>1311927</xdr:rowOff>
    </xdr:to>
    <xdr:pic>
      <xdr:nvPicPr>
        <xdr:cNvPr id="2" name="Imagen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112" y="11906"/>
          <a:ext cx="972606" cy="1300021"/>
        </a:xfrm>
        <a:prstGeom prst="rect">
          <a:avLst/>
        </a:prstGeom>
      </xdr:spPr>
    </xdr:pic>
    <xdr:clientData/>
  </xdr:twoCellAnchor>
  <xdr:twoCellAnchor editAs="oneCell">
    <xdr:from>
      <xdr:col>14</xdr:col>
      <xdr:colOff>299357</xdr:colOff>
      <xdr:row>0</xdr:row>
      <xdr:rowOff>0</xdr:rowOff>
    </xdr:from>
    <xdr:to>
      <xdr:col>15</xdr:col>
      <xdr:colOff>475945</xdr:colOff>
      <xdr:row>0</xdr:row>
      <xdr:rowOff>1300021</xdr:rowOff>
    </xdr:to>
    <xdr:pic>
      <xdr:nvPicPr>
        <xdr:cNvPr id="3" name="Imagen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73632" y="0"/>
          <a:ext cx="976688" cy="13000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caucaeduco-my.sharepoint.com/Users/UNICAUCA/Downloads/Comisiones%20Acad&#233;mic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caucaeduco-my.sharepoint.com/MIS%20DOCUMENTOS/Desktop/Doc%20VRI/OCI%202019/PLANES/Planes%20de%20Mejoramiento/Seguimiento%20Nov/PM%20informes%20de%20gesti&#243;n/Copia%20de%20PM%20INFORME%20GESTI&#211;N%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caucaeduco-my.sharepoint.com/Users/PC/Desktop/PMs/PE-GS-2.2.1-FOR-26-Formato%20Plan%20de%20Mejora%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OCI\OCI%202021\Planes\Planes%20de%20Mejoramiento\Formato%20PM%202021\PE-GS-2.2.1-FOR-26-Formato%20Plan%20de%20Mejora%20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ón PlanMejora"/>
      <sheetName val="Seguimiento PlandeMejora"/>
      <sheetName val="Datos"/>
      <sheetName val="Form. Accion Correctiva (1)"/>
      <sheetName val="Form. Accion Correctiva (2)"/>
      <sheetName val="Form. Accion Correctiva (3)"/>
      <sheetName val="Form. Accion Correctiva (4)"/>
      <sheetName val="Form. Accion Correctiva (5)"/>
      <sheetName val="Form. Accion Correctiva (6)"/>
      <sheetName val="Form. Accion Correctiva (7)"/>
      <sheetName val="Form. Accion Correctiva (8)"/>
      <sheetName val="Form. Accion Correctiva (9)"/>
      <sheetName val="Form. Accion Correctiva (10)"/>
      <sheetName val="Form. Accion Correctiva (11)"/>
      <sheetName val="Form. Accion Correctiva (12)"/>
      <sheetName val="Form. Accion Correctiva (13)"/>
      <sheetName val="Form. Accion Correctiva (14)"/>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ón PlanMejora"/>
      <sheetName val="Seguimiento PlandeMejora"/>
      <sheetName val="Hoja1"/>
      <sheetName val="Dato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alidas No Conformes"/>
      <sheetName val="Formulación Plan Mejora"/>
      <sheetName val="Seguimiento PlandeMejora"/>
      <sheetName val="Datos"/>
      <sheetName val="Form. Accion Correctiva (1)"/>
      <sheetName val="Hoja2"/>
      <sheetName val="Hoja6"/>
      <sheetName val="Hoja5"/>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alidas No Conformes"/>
      <sheetName val="Formulación Plan Mejora"/>
      <sheetName val="Seguimiento PlandeMejora"/>
      <sheetName val="Datos"/>
      <sheetName val="Form. Accion Correctiva (1)"/>
      <sheetName val="Form. Accion Correctiva (2)"/>
      <sheetName val="Form. Accion Correctiva (3)"/>
      <sheetName val="Form. Accion Correctiva (4)"/>
      <sheetName val="Form. Accion Correctiva (5)"/>
      <sheetName val="Form. Accion Correctiva (6)"/>
      <sheetName val="Form. Accion Correctiva (7)"/>
      <sheetName val="Form. Accion Correctiva (8)"/>
      <sheetName val="Form. Accion Correctiva (9)"/>
      <sheetName val="Form. Accion Correctiva (10)"/>
      <sheetName val="Form. Accion Correctiva (11)"/>
      <sheetName val="Form. Accion Correctiva (12)"/>
      <sheetName val="Form. Accion Correctiva (13)"/>
      <sheetName val="Form. Accion Correctiva (14)"/>
      <sheetName val="Hoja2"/>
      <sheetName val="Hoja6"/>
      <sheetName val="Hoja5"/>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persons/person.xml><?xml version="1.0" encoding="utf-8"?>
<personList xmlns="http://schemas.microsoft.com/office/spreadsheetml/2018/threadedcomments" xmlns:x="http://schemas.openxmlformats.org/spreadsheetml/2006/main">
  <person displayName="MARIO CAMILO CAMPO MOLANO" id="{90DF3132-508E-4610-AD16-468A609F52DC}" userId="S::mariocampo@unicauca.edu.co::c91d5167-aab4-4557-a44f-a1899cccf76d" providerId="AD"/>
  <person displayName="MABEL ALEXANDRA URBANO URBANO" id="{F06BBBD3-C5F2-4CB4-8308-F449BF47BF18}" userId="S::mabelaexa14@unicauca.edu.co::9bb0a792-76ad-4a24-ba9d-77a0278917b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7" dT="2023-07-05T21:40:53.91" personId="{90DF3132-508E-4610-AD16-468A609F52DC}" id="{51F964FB-DEE5-4B5F-A4E2-0E124FEAEBAE}">
    <text xml:space="preserve">Fechas </text>
  </threadedComment>
</ThreadedComments>
</file>

<file path=xl/threadedComments/threadedComment2.xml><?xml version="1.0" encoding="utf-8"?>
<ThreadedComments xmlns="http://schemas.microsoft.com/office/spreadsheetml/2018/threadedcomments" xmlns:x="http://schemas.openxmlformats.org/spreadsheetml/2006/main">
  <threadedComment ref="Q11" dT="2023-01-16T20:47:48.60" personId="{F06BBBD3-C5F2-4CB4-8308-F449BF47BF18}" id="{4DBA0F16-BB2A-4CA2-B845-5587A47A2135}">
    <text xml:space="preserve">Reformulada.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2.xml"/><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9.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1.xml"/><Relationship Id="rId1" Type="http://schemas.openxmlformats.org/officeDocument/2006/relationships/printerSettings" Target="../printerSettings/printerSettings6.bin"/><Relationship Id="rId4" Type="http://schemas.openxmlformats.org/officeDocument/2006/relationships/comments" Target="../comments9.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drive.google.com/file/d/1z0dtt2XbCbygBe0qZCCAQA8-UUK5s96Z/view?usp=sharing" TargetMode="External"/><Relationship Id="rId2" Type="http://schemas.openxmlformats.org/officeDocument/2006/relationships/hyperlink" Target="https://drive.google.com/file/d/1z0dtt2XbCbygBe0qZCCAQA8-UUK5s96Z/view?usp=sharing" TargetMode="External"/><Relationship Id="rId1" Type="http://schemas.openxmlformats.org/officeDocument/2006/relationships/hyperlink" Target="http://www.unicauca.edu.co/versionP/documentos/comunicados/comunicado-sobre-firma-yo-suscripci%C3%B3n-en-documentos-institucionales-con-la-menci%C3%B3n-del-cargo-corr" TargetMode="External"/><Relationship Id="rId5" Type="http://schemas.openxmlformats.org/officeDocument/2006/relationships/drawing" Target="../drawings/drawing7.xml"/><Relationship Id="rId4" Type="http://schemas.openxmlformats.org/officeDocument/2006/relationships/hyperlink" Target="https://drive.google.com/file/d/12gYOe1xeVj-VrFByGT0aklDhNm20tOdA/view?usp=sharing"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portalantiguo.unicauca.edu.co/prlvmen/sites/default/files/procesos/PA-GA-5.4.1-OD-1%20Sistema%20de%20Seguridad%20y%20Salud%20en%20el%20Trabajo%20Universidad%20del%20Cauca%20v2.pdf."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B7F6-6DCB-494B-B3C6-1B77A4288063}">
  <sheetPr>
    <tabColor theme="0"/>
  </sheetPr>
  <dimension ref="A1:AV31"/>
  <sheetViews>
    <sheetView tabSelected="1" topLeftCell="U1" zoomScale="73" zoomScaleNormal="73" workbookViewId="0">
      <selection activeCell="X7" sqref="X7"/>
    </sheetView>
  </sheetViews>
  <sheetFormatPr baseColWidth="10" defaultColWidth="17.5703125" defaultRowHeight="12.75" x14ac:dyDescent="0.2"/>
  <cols>
    <col min="1" max="1" width="12.140625" style="53" customWidth="1"/>
    <col min="2" max="2" width="13.42578125" style="53" customWidth="1"/>
    <col min="3" max="3" width="46.28515625" style="53" customWidth="1"/>
    <col min="4" max="4" width="44.140625" style="53" customWidth="1"/>
    <col min="5" max="5" width="36.7109375" style="53" customWidth="1"/>
    <col min="6" max="6" width="33.5703125" style="53" customWidth="1"/>
    <col min="7" max="7" width="32.85546875" style="53" customWidth="1"/>
    <col min="8" max="8" width="17.42578125" style="53" customWidth="1"/>
    <col min="9" max="9" width="26.5703125" style="53" customWidth="1"/>
    <col min="10" max="10" width="19.7109375" style="53" customWidth="1"/>
    <col min="11" max="11" width="21.42578125" style="53" customWidth="1"/>
    <col min="12" max="12" width="20.5703125" style="53" customWidth="1"/>
    <col min="13" max="14" width="15.42578125" style="53" customWidth="1"/>
    <col min="15" max="15" width="18" style="53" customWidth="1"/>
    <col min="16" max="16" width="19.7109375" style="53" customWidth="1"/>
    <col min="17" max="17" width="21" style="53" customWidth="1"/>
    <col min="18" max="18" width="17.140625" style="53" customWidth="1"/>
    <col min="19" max="19" width="11.85546875" style="53" customWidth="1"/>
    <col min="20" max="20" width="17.85546875" style="53" customWidth="1"/>
    <col min="21" max="21" width="15.5703125" style="53" customWidth="1"/>
    <col min="22" max="22" width="14.7109375" style="53" customWidth="1"/>
    <col min="23" max="23" width="20.28515625" style="53" customWidth="1"/>
    <col min="24" max="24" width="109" style="53" customWidth="1"/>
    <col min="25" max="25" width="42.140625" style="53" customWidth="1"/>
    <col min="26" max="26" width="21.85546875" style="53" customWidth="1"/>
    <col min="27" max="27" width="18.85546875" style="53" customWidth="1"/>
    <col min="28" max="28" width="20.5703125" style="53" customWidth="1"/>
    <col min="29" max="29" width="21.140625" style="53" customWidth="1"/>
    <col min="30" max="30" width="82.42578125" style="53" customWidth="1"/>
    <col min="31" max="41" width="9.140625"/>
    <col min="42" max="42" width="28.5703125" hidden="1" customWidth="1"/>
    <col min="43" max="43" width="42" hidden="1" customWidth="1"/>
    <col min="44" max="44" width="0" hidden="1" customWidth="1"/>
    <col min="45" max="45" width="51.42578125" hidden="1" customWidth="1"/>
    <col min="46" max="46" width="8.5703125" hidden="1" customWidth="1"/>
    <col min="47" max="47" width="7.140625" hidden="1" customWidth="1"/>
    <col min="48" max="48" width="20.85546875" hidden="1" customWidth="1"/>
    <col min="49" max="49" width="0" hidden="1" customWidth="1"/>
    <col min="50" max="50" width="22.42578125" customWidth="1"/>
  </cols>
  <sheetData>
    <row r="1" spans="1:30" ht="118.5" customHeight="1" thickBot="1" x14ac:dyDescent="0.25">
      <c r="A1" s="858" t="s">
        <v>0</v>
      </c>
      <c r="B1" s="858"/>
      <c r="C1" s="858" t="s">
        <v>1</v>
      </c>
      <c r="D1" s="858"/>
      <c r="E1" s="858"/>
      <c r="F1" s="858"/>
      <c r="G1" s="858"/>
      <c r="H1" s="858"/>
      <c r="I1" s="858"/>
      <c r="J1" s="858"/>
      <c r="K1" s="858"/>
      <c r="L1" s="858"/>
      <c r="M1" s="858"/>
      <c r="N1" s="858"/>
      <c r="O1" s="858"/>
      <c r="P1" s="858"/>
      <c r="Q1" s="858" t="s">
        <v>2</v>
      </c>
      <c r="R1" s="858"/>
      <c r="S1" s="858"/>
      <c r="T1" s="858"/>
      <c r="U1" s="858"/>
      <c r="V1" s="858"/>
      <c r="W1" s="858"/>
      <c r="X1" s="858"/>
      <c r="Y1" s="858"/>
      <c r="Z1" s="858" t="s">
        <v>2</v>
      </c>
      <c r="AA1" s="858"/>
      <c r="AB1" s="858"/>
      <c r="AC1" s="858"/>
      <c r="AD1" s="858"/>
    </row>
    <row r="2" spans="1:30" ht="15.75" customHeight="1" x14ac:dyDescent="0.2">
      <c r="A2" s="858" t="s">
        <v>3</v>
      </c>
      <c r="B2" s="858"/>
      <c r="C2" s="858" t="s">
        <v>4</v>
      </c>
      <c r="D2" s="862"/>
      <c r="E2" s="862"/>
      <c r="F2" s="862"/>
      <c r="G2" s="858" t="s">
        <v>5</v>
      </c>
      <c r="H2" s="858"/>
      <c r="I2" s="858" t="s">
        <v>6</v>
      </c>
      <c r="J2" s="858"/>
      <c r="K2" s="858"/>
      <c r="L2" s="858"/>
      <c r="M2" s="858"/>
      <c r="N2" s="858"/>
      <c r="O2" s="858"/>
      <c r="P2" s="858"/>
      <c r="Q2" s="858"/>
      <c r="R2" s="858"/>
      <c r="S2" s="858"/>
      <c r="T2" s="858"/>
      <c r="U2" s="858"/>
      <c r="V2" s="858"/>
      <c r="W2" s="858"/>
      <c r="X2" s="858"/>
      <c r="Y2" s="858"/>
      <c r="Z2" s="858"/>
      <c r="AA2" s="858"/>
      <c r="AB2" s="858"/>
      <c r="AC2" s="858"/>
      <c r="AD2" s="858"/>
    </row>
    <row r="3" spans="1:30" ht="18" customHeight="1" x14ac:dyDescent="0.2">
      <c r="A3" s="859" t="s">
        <v>7</v>
      </c>
      <c r="B3" s="859"/>
      <c r="C3" s="858" t="s">
        <v>8</v>
      </c>
      <c r="D3" s="858"/>
      <c r="E3" s="858"/>
      <c r="F3" s="858"/>
      <c r="G3" s="859" t="s">
        <v>9</v>
      </c>
      <c r="H3" s="859"/>
      <c r="I3" s="860">
        <v>43101</v>
      </c>
      <c r="J3" s="858"/>
      <c r="K3" s="858"/>
      <c r="L3" s="858"/>
      <c r="M3" s="858"/>
      <c r="N3" s="858"/>
      <c r="O3" s="859" t="s">
        <v>10</v>
      </c>
      <c r="P3" s="859"/>
      <c r="Q3" s="863">
        <v>45686</v>
      </c>
      <c r="R3" s="864"/>
      <c r="S3" s="864"/>
      <c r="T3" s="864"/>
      <c r="U3" s="864"/>
      <c r="V3" s="865"/>
      <c r="W3" s="859" t="s">
        <v>11</v>
      </c>
      <c r="X3" s="859"/>
      <c r="Y3" s="301" t="s">
        <v>12</v>
      </c>
      <c r="Z3" s="858"/>
      <c r="AA3" s="858"/>
      <c r="AB3" s="858"/>
      <c r="AC3" s="858"/>
      <c r="AD3" s="858"/>
    </row>
    <row r="4" spans="1:30" ht="18" customHeight="1" x14ac:dyDescent="0.2">
      <c r="A4" s="859" t="s">
        <v>13</v>
      </c>
      <c r="B4" s="859"/>
      <c r="C4" s="858" t="s">
        <v>14</v>
      </c>
      <c r="D4" s="858"/>
      <c r="E4" s="858"/>
      <c r="F4" s="858"/>
      <c r="G4" s="859" t="s">
        <v>15</v>
      </c>
      <c r="H4" s="859"/>
      <c r="I4" s="860">
        <v>43956</v>
      </c>
      <c r="J4" s="860"/>
      <c r="K4" s="860"/>
      <c r="L4" s="860"/>
      <c r="M4" s="860"/>
      <c r="N4" s="860"/>
      <c r="O4" s="859" t="s">
        <v>16</v>
      </c>
      <c r="P4" s="859"/>
      <c r="Q4" s="861" t="s">
        <v>17</v>
      </c>
      <c r="R4" s="861"/>
      <c r="S4" s="861"/>
      <c r="T4" s="857" t="s">
        <v>18</v>
      </c>
      <c r="U4" s="857"/>
      <c r="V4" s="858"/>
      <c r="W4" s="858"/>
      <c r="X4" s="858"/>
      <c r="Y4" s="858"/>
      <c r="Z4" s="858"/>
      <c r="AA4" s="858"/>
      <c r="AB4" s="858"/>
      <c r="AC4" s="858"/>
      <c r="AD4" s="858"/>
    </row>
    <row r="5" spans="1:30" ht="20.25" customHeight="1" x14ac:dyDescent="0.2">
      <c r="A5" s="848" t="s">
        <v>19</v>
      </c>
      <c r="B5" s="849"/>
      <c r="C5" s="849"/>
      <c r="D5" s="849"/>
      <c r="E5" s="849"/>
      <c r="F5" s="849"/>
      <c r="G5" s="849"/>
      <c r="H5" s="849"/>
      <c r="I5" s="849"/>
      <c r="J5" s="849"/>
      <c r="K5" s="849"/>
      <c r="L5" s="849"/>
      <c r="M5" s="849"/>
      <c r="N5" s="850"/>
      <c r="O5" s="851" t="s">
        <v>20</v>
      </c>
      <c r="P5" s="852"/>
      <c r="Q5" s="852"/>
      <c r="R5" s="852"/>
      <c r="S5" s="852"/>
      <c r="T5" s="852"/>
      <c r="U5" s="852"/>
      <c r="V5" s="852"/>
      <c r="W5" s="852"/>
      <c r="X5" s="852"/>
      <c r="Y5" s="853"/>
      <c r="Z5" s="854" t="s">
        <v>21</v>
      </c>
      <c r="AA5" s="855"/>
      <c r="AB5" s="855"/>
      <c r="AC5" s="855"/>
      <c r="AD5" s="856"/>
    </row>
    <row r="6" spans="1:30" ht="117" customHeight="1" thickBot="1" x14ac:dyDescent="0.25">
      <c r="A6" s="134" t="s">
        <v>22</v>
      </c>
      <c r="B6" s="134" t="s">
        <v>23</v>
      </c>
      <c r="C6" s="134" t="s">
        <v>24</v>
      </c>
      <c r="D6" s="134" t="s">
        <v>25</v>
      </c>
      <c r="E6" s="134" t="s">
        <v>26</v>
      </c>
      <c r="F6" s="134" t="s">
        <v>27</v>
      </c>
      <c r="G6" s="134" t="s">
        <v>28</v>
      </c>
      <c r="H6" s="134" t="s">
        <v>29</v>
      </c>
      <c r="I6" s="134" t="s">
        <v>30</v>
      </c>
      <c r="J6" s="134" t="s">
        <v>31</v>
      </c>
      <c r="K6" s="134" t="s">
        <v>32</v>
      </c>
      <c r="L6" s="134" t="s">
        <v>33</v>
      </c>
      <c r="M6" s="134" t="s">
        <v>34</v>
      </c>
      <c r="N6" s="134" t="s">
        <v>35</v>
      </c>
      <c r="O6" s="135" t="s">
        <v>36</v>
      </c>
      <c r="P6" s="135" t="s">
        <v>37</v>
      </c>
      <c r="Q6" s="135" t="s">
        <v>38</v>
      </c>
      <c r="R6" s="135" t="s">
        <v>39</v>
      </c>
      <c r="S6" s="135" t="s">
        <v>40</v>
      </c>
      <c r="T6" s="135" t="s">
        <v>41</v>
      </c>
      <c r="U6" s="135" t="s">
        <v>42</v>
      </c>
      <c r="V6" s="135" t="s">
        <v>43</v>
      </c>
      <c r="W6" s="135" t="s">
        <v>44</v>
      </c>
      <c r="X6" s="135" t="s">
        <v>45</v>
      </c>
      <c r="Y6" s="137" t="s">
        <v>46</v>
      </c>
      <c r="Z6" s="138" t="s">
        <v>47</v>
      </c>
      <c r="AA6" s="150" t="s">
        <v>48</v>
      </c>
      <c r="AB6" s="150" t="s">
        <v>49</v>
      </c>
      <c r="AC6" s="138" t="s">
        <v>50</v>
      </c>
      <c r="AD6" s="138" t="s">
        <v>51</v>
      </c>
    </row>
    <row r="7" spans="1:30" s="226" customFormat="1" ht="409.5" customHeight="1" x14ac:dyDescent="0.2">
      <c r="A7" s="425" t="s">
        <v>52</v>
      </c>
      <c r="B7" s="425" t="s">
        <v>53</v>
      </c>
      <c r="C7" s="143" t="s">
        <v>54</v>
      </c>
      <c r="D7" s="143" t="s">
        <v>55</v>
      </c>
      <c r="E7" s="143" t="s">
        <v>56</v>
      </c>
      <c r="F7" s="143" t="s">
        <v>57</v>
      </c>
      <c r="G7" s="143" t="s">
        <v>58</v>
      </c>
      <c r="H7" s="143">
        <v>1</v>
      </c>
      <c r="I7" s="143" t="s">
        <v>59</v>
      </c>
      <c r="J7" s="143" t="s">
        <v>60</v>
      </c>
      <c r="K7" s="143" t="s">
        <v>61</v>
      </c>
      <c r="L7" s="143" t="s">
        <v>62</v>
      </c>
      <c r="M7" s="140">
        <v>43101</v>
      </c>
      <c r="N7" s="140">
        <v>43555</v>
      </c>
      <c r="O7" s="721">
        <f>(N7-M7)/7</f>
        <v>64.857142857142861</v>
      </c>
      <c r="P7" s="722">
        <v>45686</v>
      </c>
      <c r="Q7" s="140">
        <v>44631</v>
      </c>
      <c r="R7" s="373">
        <f t="shared" ref="R7:R30" si="0">(Q7-M7)/7-O7</f>
        <v>153.71428571428572</v>
      </c>
      <c r="S7" s="374" t="s">
        <v>63</v>
      </c>
      <c r="T7" s="723">
        <v>1</v>
      </c>
      <c r="U7" s="363">
        <v>1</v>
      </c>
      <c r="V7" s="376">
        <f t="shared" ref="V7:V30" si="1">IF(R7&gt;O7,0%,IF(R7&lt;=0,"100%",1-(R7/O7)))</f>
        <v>0</v>
      </c>
      <c r="W7" s="377" t="str">
        <f t="shared" ref="W7:W30" si="2">IF(Q7&lt;=N7,"Cumple","Incumple")</f>
        <v>Incumple</v>
      </c>
      <c r="X7" s="720" t="s">
        <v>64</v>
      </c>
      <c r="Y7" s="720" t="s">
        <v>65</v>
      </c>
      <c r="Z7" s="378">
        <f>(U7+V7)/2</f>
        <v>0.5</v>
      </c>
      <c r="AA7" s="718">
        <v>1</v>
      </c>
      <c r="AB7" s="718">
        <v>0.7</v>
      </c>
      <c r="AC7" s="719">
        <f t="shared" ref="AC7:AC25" si="3">AVERAGE(Z7:AB7)</f>
        <v>0.73333333333333339</v>
      </c>
      <c r="AD7" s="139" t="s">
        <v>3071</v>
      </c>
    </row>
    <row r="8" spans="1:30" s="226" customFormat="1" ht="391.5" customHeight="1" x14ac:dyDescent="0.2">
      <c r="A8" s="425" t="s">
        <v>52</v>
      </c>
      <c r="B8" s="425" t="s">
        <v>53</v>
      </c>
      <c r="C8" s="143" t="s">
        <v>54</v>
      </c>
      <c r="D8" s="143" t="s">
        <v>55</v>
      </c>
      <c r="E8" s="143" t="s">
        <v>56</v>
      </c>
      <c r="F8" s="143" t="s">
        <v>66</v>
      </c>
      <c r="G8" s="143" t="s">
        <v>67</v>
      </c>
      <c r="H8" s="143">
        <v>1</v>
      </c>
      <c r="I8" s="143" t="s">
        <v>59</v>
      </c>
      <c r="J8" s="143" t="s">
        <v>60</v>
      </c>
      <c r="K8" s="143" t="s">
        <v>61</v>
      </c>
      <c r="L8" s="143" t="s">
        <v>68</v>
      </c>
      <c r="M8" s="140">
        <v>43132</v>
      </c>
      <c r="N8" s="140">
        <v>43469</v>
      </c>
      <c r="O8" s="721">
        <f>(N7-M7)/7</f>
        <v>64.857142857142861</v>
      </c>
      <c r="P8" s="722">
        <v>45686</v>
      </c>
      <c r="Q8" s="140">
        <v>44631</v>
      </c>
      <c r="R8" s="373">
        <f t="shared" si="0"/>
        <v>149.28571428571428</v>
      </c>
      <c r="S8" s="374" t="s">
        <v>63</v>
      </c>
      <c r="T8" s="723">
        <v>1</v>
      </c>
      <c r="U8" s="363">
        <v>1</v>
      </c>
      <c r="V8" s="376">
        <f t="shared" si="1"/>
        <v>0</v>
      </c>
      <c r="W8" s="377" t="str">
        <f t="shared" si="2"/>
        <v>Incumple</v>
      </c>
      <c r="X8" s="720" t="s">
        <v>64</v>
      </c>
      <c r="Y8" s="720" t="s">
        <v>69</v>
      </c>
      <c r="Z8" s="378">
        <f t="shared" ref="Z8:Z30" si="4">(U8+V8)/2</f>
        <v>0.5</v>
      </c>
      <c r="AA8" s="718">
        <v>1</v>
      </c>
      <c r="AB8" s="718">
        <v>1</v>
      </c>
      <c r="AC8" s="719">
        <f t="shared" si="3"/>
        <v>0.83333333333333337</v>
      </c>
      <c r="AD8" s="139" t="s">
        <v>3072</v>
      </c>
    </row>
    <row r="9" spans="1:30" s="226" customFormat="1" ht="334.5" customHeight="1" x14ac:dyDescent="0.2">
      <c r="A9" s="425" t="s">
        <v>52</v>
      </c>
      <c r="B9" s="425" t="s">
        <v>53</v>
      </c>
      <c r="C9" s="143" t="s">
        <v>54</v>
      </c>
      <c r="D9" s="143" t="s">
        <v>55</v>
      </c>
      <c r="E9" s="143" t="s">
        <v>56</v>
      </c>
      <c r="F9" s="143" t="s">
        <v>70</v>
      </c>
      <c r="G9" s="143" t="s">
        <v>71</v>
      </c>
      <c r="H9" s="143">
        <v>1</v>
      </c>
      <c r="I9" s="143" t="s">
        <v>59</v>
      </c>
      <c r="J9" s="143" t="s">
        <v>60</v>
      </c>
      <c r="K9" s="143" t="s">
        <v>61</v>
      </c>
      <c r="L9" s="143" t="s">
        <v>72</v>
      </c>
      <c r="M9" s="140">
        <v>43160</v>
      </c>
      <c r="N9" s="140">
        <v>43500</v>
      </c>
      <c r="O9" s="721">
        <f>(N9-M9)/7</f>
        <v>48.571428571428569</v>
      </c>
      <c r="P9" s="722">
        <v>45686</v>
      </c>
      <c r="Q9" s="140">
        <v>44631</v>
      </c>
      <c r="R9" s="373">
        <f t="shared" si="0"/>
        <v>161.57142857142856</v>
      </c>
      <c r="S9" s="374" t="s">
        <v>63</v>
      </c>
      <c r="T9" s="723">
        <v>1</v>
      </c>
      <c r="U9" s="363">
        <v>1</v>
      </c>
      <c r="V9" s="376">
        <f t="shared" si="1"/>
        <v>0</v>
      </c>
      <c r="W9" s="377" t="str">
        <f t="shared" si="2"/>
        <v>Incumple</v>
      </c>
      <c r="X9" s="720" t="s">
        <v>64</v>
      </c>
      <c r="Y9" s="720" t="s">
        <v>73</v>
      </c>
      <c r="Z9" s="378">
        <f t="shared" si="4"/>
        <v>0.5</v>
      </c>
      <c r="AA9" s="718">
        <v>0.8</v>
      </c>
      <c r="AB9" s="718">
        <v>0.6</v>
      </c>
      <c r="AC9" s="719">
        <f t="shared" si="3"/>
        <v>0.6333333333333333</v>
      </c>
      <c r="AD9" s="139" t="s">
        <v>3073</v>
      </c>
    </row>
    <row r="10" spans="1:30" s="226" customFormat="1" ht="403.5" customHeight="1" x14ac:dyDescent="0.2">
      <c r="A10" s="425" t="s">
        <v>52</v>
      </c>
      <c r="B10" s="425" t="s">
        <v>53</v>
      </c>
      <c r="C10" s="143" t="s">
        <v>54</v>
      </c>
      <c r="D10" s="143" t="s">
        <v>55</v>
      </c>
      <c r="E10" s="143" t="s">
        <v>56</v>
      </c>
      <c r="F10" s="143" t="s">
        <v>74</v>
      </c>
      <c r="G10" s="143" t="s">
        <v>75</v>
      </c>
      <c r="H10" s="143">
        <v>1</v>
      </c>
      <c r="I10" s="143" t="s">
        <v>59</v>
      </c>
      <c r="J10" s="143" t="s">
        <v>60</v>
      </c>
      <c r="K10" s="143" t="s">
        <v>61</v>
      </c>
      <c r="L10" s="143" t="s">
        <v>76</v>
      </c>
      <c r="M10" s="140">
        <v>43160</v>
      </c>
      <c r="N10" s="140">
        <v>43500</v>
      </c>
      <c r="O10" s="721">
        <f>(N10-M10)/7</f>
        <v>48.571428571428569</v>
      </c>
      <c r="P10" s="722">
        <v>45686</v>
      </c>
      <c r="Q10" s="140">
        <v>44631</v>
      </c>
      <c r="R10" s="373">
        <f t="shared" si="0"/>
        <v>161.57142857142856</v>
      </c>
      <c r="S10" s="374" t="s">
        <v>63</v>
      </c>
      <c r="T10" s="723">
        <v>1</v>
      </c>
      <c r="U10" s="363">
        <v>1</v>
      </c>
      <c r="V10" s="376">
        <f t="shared" si="1"/>
        <v>0</v>
      </c>
      <c r="W10" s="377" t="str">
        <f t="shared" si="2"/>
        <v>Incumple</v>
      </c>
      <c r="X10" s="720" t="s">
        <v>64</v>
      </c>
      <c r="Y10" s="720" t="s">
        <v>77</v>
      </c>
      <c r="Z10" s="378">
        <f t="shared" si="4"/>
        <v>0.5</v>
      </c>
      <c r="AA10" s="718">
        <v>0.8</v>
      </c>
      <c r="AB10" s="718">
        <v>1</v>
      </c>
      <c r="AC10" s="719">
        <f t="shared" si="3"/>
        <v>0.76666666666666661</v>
      </c>
      <c r="AD10" s="139" t="s">
        <v>3074</v>
      </c>
    </row>
    <row r="11" spans="1:30" s="226" customFormat="1" ht="319.5" customHeight="1" x14ac:dyDescent="0.2">
      <c r="A11" s="425" t="s">
        <v>52</v>
      </c>
      <c r="B11" s="425" t="s">
        <v>53</v>
      </c>
      <c r="C11" s="143" t="s">
        <v>54</v>
      </c>
      <c r="D11" s="143" t="s">
        <v>55</v>
      </c>
      <c r="E11" s="143" t="s">
        <v>56</v>
      </c>
      <c r="F11" s="143" t="s">
        <v>78</v>
      </c>
      <c r="G11" s="143" t="s">
        <v>79</v>
      </c>
      <c r="H11" s="143">
        <v>1</v>
      </c>
      <c r="I11" s="143" t="s">
        <v>59</v>
      </c>
      <c r="J11" s="143" t="s">
        <v>60</v>
      </c>
      <c r="K11" s="143" t="s">
        <v>61</v>
      </c>
      <c r="L11" s="143" t="s">
        <v>80</v>
      </c>
      <c r="M11" s="140">
        <v>43191</v>
      </c>
      <c r="N11" s="140">
        <v>43528</v>
      </c>
      <c r="O11" s="721">
        <f>(N11-M11)/7</f>
        <v>48.142857142857146</v>
      </c>
      <c r="P11" s="722">
        <v>45686</v>
      </c>
      <c r="Q11" s="140">
        <v>44631</v>
      </c>
      <c r="R11" s="373">
        <f t="shared" si="0"/>
        <v>157.57142857142858</v>
      </c>
      <c r="S11" s="374" t="s">
        <v>63</v>
      </c>
      <c r="T11" s="723">
        <v>1</v>
      </c>
      <c r="U11" s="363">
        <v>1</v>
      </c>
      <c r="V11" s="376">
        <f t="shared" si="1"/>
        <v>0</v>
      </c>
      <c r="W11" s="377" t="str">
        <f t="shared" si="2"/>
        <v>Incumple</v>
      </c>
      <c r="X11" s="720" t="s">
        <v>64</v>
      </c>
      <c r="Y11" s="720" t="s">
        <v>81</v>
      </c>
      <c r="Z11" s="378">
        <f t="shared" si="4"/>
        <v>0.5</v>
      </c>
      <c r="AA11" s="718">
        <v>0.8</v>
      </c>
      <c r="AB11" s="718">
        <v>0.6</v>
      </c>
      <c r="AC11" s="719">
        <f t="shared" si="3"/>
        <v>0.6333333333333333</v>
      </c>
      <c r="AD11" s="139" t="s">
        <v>3075</v>
      </c>
    </row>
    <row r="12" spans="1:30" s="226" customFormat="1" ht="343.5" customHeight="1" x14ac:dyDescent="0.2">
      <c r="A12" s="425" t="s">
        <v>52</v>
      </c>
      <c r="B12" s="425" t="s">
        <v>53</v>
      </c>
      <c r="C12" s="143" t="s">
        <v>82</v>
      </c>
      <c r="D12" s="143" t="s">
        <v>83</v>
      </c>
      <c r="E12" s="143" t="s">
        <v>56</v>
      </c>
      <c r="F12" s="143" t="s">
        <v>84</v>
      </c>
      <c r="G12" s="143" t="s">
        <v>85</v>
      </c>
      <c r="H12" s="143">
        <v>1</v>
      </c>
      <c r="I12" s="143" t="s">
        <v>86</v>
      </c>
      <c r="J12" s="143" t="s">
        <v>87</v>
      </c>
      <c r="K12" s="143" t="s">
        <v>61</v>
      </c>
      <c r="L12" s="143" t="s">
        <v>88</v>
      </c>
      <c r="M12" s="140">
        <v>43621</v>
      </c>
      <c r="N12" s="140">
        <v>43592</v>
      </c>
      <c r="O12" s="721">
        <f>(N12-M12)/7</f>
        <v>-4.1428571428571432</v>
      </c>
      <c r="P12" s="722">
        <v>45686</v>
      </c>
      <c r="Q12" s="140">
        <v>44631</v>
      </c>
      <c r="R12" s="373">
        <f t="shared" si="0"/>
        <v>148.42857142857142</v>
      </c>
      <c r="S12" s="374" t="s">
        <v>63</v>
      </c>
      <c r="T12" s="723">
        <v>1</v>
      </c>
      <c r="U12" s="363">
        <v>1</v>
      </c>
      <c r="V12" s="376">
        <f t="shared" si="1"/>
        <v>0</v>
      </c>
      <c r="W12" s="377" t="str">
        <f t="shared" si="2"/>
        <v>Incumple</v>
      </c>
      <c r="X12" s="720" t="s">
        <v>89</v>
      </c>
      <c r="Y12" s="720" t="s">
        <v>90</v>
      </c>
      <c r="Z12" s="378">
        <f t="shared" si="4"/>
        <v>0.5</v>
      </c>
      <c r="AA12" s="718">
        <v>1</v>
      </c>
      <c r="AB12" s="718">
        <v>0.9</v>
      </c>
      <c r="AC12" s="719">
        <f t="shared" si="3"/>
        <v>0.79999999999999993</v>
      </c>
      <c r="AD12" s="139" t="s">
        <v>3076</v>
      </c>
    </row>
    <row r="13" spans="1:30" s="226" customFormat="1" ht="366" customHeight="1" x14ac:dyDescent="0.2">
      <c r="A13" s="425" t="s">
        <v>52</v>
      </c>
      <c r="B13" s="425" t="s">
        <v>53</v>
      </c>
      <c r="C13" s="143" t="s">
        <v>82</v>
      </c>
      <c r="D13" s="143" t="s">
        <v>83</v>
      </c>
      <c r="E13" s="143" t="s">
        <v>91</v>
      </c>
      <c r="F13" s="143" t="s">
        <v>92</v>
      </c>
      <c r="G13" s="143" t="s">
        <v>93</v>
      </c>
      <c r="H13" s="143">
        <v>1</v>
      </c>
      <c r="I13" s="143" t="s">
        <v>86</v>
      </c>
      <c r="J13" s="143" t="s">
        <v>60</v>
      </c>
      <c r="K13" s="143" t="s">
        <v>61</v>
      </c>
      <c r="L13" s="143" t="s">
        <v>94</v>
      </c>
      <c r="M13" s="140">
        <v>43621</v>
      </c>
      <c r="N13" s="140">
        <v>43592</v>
      </c>
      <c r="O13" s="721">
        <f t="shared" ref="O13" si="5">(N13-M13)/7</f>
        <v>-4.1428571428571432</v>
      </c>
      <c r="P13" s="722">
        <v>45686</v>
      </c>
      <c r="Q13" s="140">
        <v>44631</v>
      </c>
      <c r="R13" s="373">
        <f t="shared" si="0"/>
        <v>148.42857142857142</v>
      </c>
      <c r="S13" s="374" t="s">
        <v>63</v>
      </c>
      <c r="T13" s="723">
        <v>1</v>
      </c>
      <c r="U13" s="363">
        <v>1</v>
      </c>
      <c r="V13" s="376">
        <f t="shared" si="1"/>
        <v>0</v>
      </c>
      <c r="W13" s="377" t="str">
        <f t="shared" si="2"/>
        <v>Incumple</v>
      </c>
      <c r="X13" s="720" t="s">
        <v>89</v>
      </c>
      <c r="Y13" s="720" t="s">
        <v>95</v>
      </c>
      <c r="Z13" s="378">
        <f t="shared" si="4"/>
        <v>0.5</v>
      </c>
      <c r="AA13" s="718">
        <v>0.9</v>
      </c>
      <c r="AB13" s="718">
        <v>0.9</v>
      </c>
      <c r="AC13" s="719">
        <f t="shared" si="3"/>
        <v>0.76666666666666661</v>
      </c>
      <c r="AD13" s="139" t="s">
        <v>3077</v>
      </c>
    </row>
    <row r="14" spans="1:30" s="226" customFormat="1" ht="273.75" x14ac:dyDescent="0.2">
      <c r="A14" s="425" t="s">
        <v>52</v>
      </c>
      <c r="B14" s="425" t="s">
        <v>53</v>
      </c>
      <c r="C14" s="143" t="s">
        <v>82</v>
      </c>
      <c r="D14" s="143" t="s">
        <v>83</v>
      </c>
      <c r="E14" s="143" t="s">
        <v>91</v>
      </c>
      <c r="F14" s="143" t="s">
        <v>96</v>
      </c>
      <c r="G14" s="143" t="s">
        <v>97</v>
      </c>
      <c r="H14" s="143">
        <v>1</v>
      </c>
      <c r="I14" s="143" t="s">
        <v>86</v>
      </c>
      <c r="J14" s="143" t="s">
        <v>60</v>
      </c>
      <c r="K14" s="143" t="s">
        <v>61</v>
      </c>
      <c r="L14" s="143" t="s">
        <v>98</v>
      </c>
      <c r="M14" s="140">
        <v>43621</v>
      </c>
      <c r="N14" s="140">
        <v>43592</v>
      </c>
      <c r="O14" s="721">
        <f t="shared" ref="O14:O29" si="6">(N14-M14)/7</f>
        <v>-4.1428571428571432</v>
      </c>
      <c r="P14" s="722">
        <v>45686</v>
      </c>
      <c r="Q14" s="140">
        <v>44631</v>
      </c>
      <c r="R14" s="373">
        <f t="shared" si="0"/>
        <v>148.42857142857142</v>
      </c>
      <c r="S14" s="374" t="s">
        <v>63</v>
      </c>
      <c r="T14" s="723">
        <v>1</v>
      </c>
      <c r="U14" s="363">
        <v>1</v>
      </c>
      <c r="V14" s="376">
        <f t="shared" si="1"/>
        <v>0</v>
      </c>
      <c r="W14" s="377" t="str">
        <f t="shared" si="2"/>
        <v>Incumple</v>
      </c>
      <c r="X14" s="720" t="s">
        <v>89</v>
      </c>
      <c r="Y14" s="720" t="s">
        <v>81</v>
      </c>
      <c r="Z14" s="378">
        <f t="shared" si="4"/>
        <v>0.5</v>
      </c>
      <c r="AA14" s="718">
        <v>1</v>
      </c>
      <c r="AB14" s="718">
        <v>0.9</v>
      </c>
      <c r="AC14" s="719">
        <f t="shared" si="3"/>
        <v>0.79999999999999993</v>
      </c>
      <c r="AD14" s="139" t="s">
        <v>3078</v>
      </c>
    </row>
    <row r="15" spans="1:30" s="226" customFormat="1" ht="350.25" customHeight="1" x14ac:dyDescent="0.2">
      <c r="A15" s="425" t="s">
        <v>52</v>
      </c>
      <c r="B15" s="425" t="s">
        <v>53</v>
      </c>
      <c r="C15" s="143" t="s">
        <v>99</v>
      </c>
      <c r="D15" s="143" t="s">
        <v>100</v>
      </c>
      <c r="E15" s="143" t="s">
        <v>101</v>
      </c>
      <c r="F15" s="143" t="s">
        <v>102</v>
      </c>
      <c r="G15" s="143" t="s">
        <v>103</v>
      </c>
      <c r="H15" s="143">
        <v>1</v>
      </c>
      <c r="I15" s="143" t="s">
        <v>59</v>
      </c>
      <c r="J15" s="143" t="s">
        <v>87</v>
      </c>
      <c r="K15" s="143" t="s">
        <v>61</v>
      </c>
      <c r="L15" s="143" t="s">
        <v>104</v>
      </c>
      <c r="M15" s="140">
        <v>43621</v>
      </c>
      <c r="N15" s="140">
        <v>43768</v>
      </c>
      <c r="O15" s="721">
        <f t="shared" si="6"/>
        <v>21</v>
      </c>
      <c r="P15" s="722">
        <v>45686</v>
      </c>
      <c r="Q15" s="140">
        <v>44631</v>
      </c>
      <c r="R15" s="373">
        <f t="shared" si="0"/>
        <v>123.28571428571428</v>
      </c>
      <c r="S15" s="374" t="s">
        <v>63</v>
      </c>
      <c r="T15" s="723" t="s">
        <v>105</v>
      </c>
      <c r="U15" s="363">
        <v>1</v>
      </c>
      <c r="V15" s="376">
        <f t="shared" si="1"/>
        <v>0</v>
      </c>
      <c r="W15" s="377" t="str">
        <f t="shared" si="2"/>
        <v>Incumple</v>
      </c>
      <c r="X15" s="139" t="s">
        <v>106</v>
      </c>
      <c r="Y15" s="139" t="s">
        <v>107</v>
      </c>
      <c r="Z15" s="378">
        <f t="shared" si="4"/>
        <v>0.5</v>
      </c>
      <c r="AA15" s="718">
        <v>1</v>
      </c>
      <c r="AB15" s="718">
        <v>1</v>
      </c>
      <c r="AC15" s="719">
        <f t="shared" si="3"/>
        <v>0.83333333333333337</v>
      </c>
      <c r="AD15" s="139" t="s">
        <v>3079</v>
      </c>
    </row>
    <row r="16" spans="1:30" s="226" customFormat="1" ht="330" x14ac:dyDescent="0.2">
      <c r="A16" s="425" t="s">
        <v>52</v>
      </c>
      <c r="B16" s="425" t="s">
        <v>53</v>
      </c>
      <c r="C16" s="143" t="s">
        <v>99</v>
      </c>
      <c r="D16" s="143" t="s">
        <v>100</v>
      </c>
      <c r="E16" s="143" t="s">
        <v>101</v>
      </c>
      <c r="F16" s="143" t="s">
        <v>108</v>
      </c>
      <c r="G16" s="143" t="s">
        <v>109</v>
      </c>
      <c r="H16" s="143">
        <v>1</v>
      </c>
      <c r="I16" s="143" t="s">
        <v>59</v>
      </c>
      <c r="J16" s="143" t="s">
        <v>110</v>
      </c>
      <c r="K16" s="143" t="s">
        <v>61</v>
      </c>
      <c r="L16" s="143" t="s">
        <v>111</v>
      </c>
      <c r="M16" s="140">
        <v>43374</v>
      </c>
      <c r="N16" s="140">
        <v>43712</v>
      </c>
      <c r="O16" s="721">
        <f t="shared" si="6"/>
        <v>48.285714285714285</v>
      </c>
      <c r="P16" s="722">
        <v>45686</v>
      </c>
      <c r="Q16" s="140">
        <v>44631</v>
      </c>
      <c r="R16" s="373">
        <f t="shared" si="0"/>
        <v>131.28571428571431</v>
      </c>
      <c r="S16" s="374" t="s">
        <v>63</v>
      </c>
      <c r="T16" s="723">
        <v>1</v>
      </c>
      <c r="U16" s="363">
        <v>1</v>
      </c>
      <c r="V16" s="376">
        <f t="shared" si="1"/>
        <v>0</v>
      </c>
      <c r="W16" s="377" t="str">
        <f t="shared" si="2"/>
        <v>Incumple</v>
      </c>
      <c r="X16" s="139" t="s">
        <v>106</v>
      </c>
      <c r="Y16" s="139" t="s">
        <v>107</v>
      </c>
      <c r="Z16" s="378">
        <f t="shared" si="4"/>
        <v>0.5</v>
      </c>
      <c r="AA16" s="718">
        <v>1</v>
      </c>
      <c r="AB16" s="718">
        <v>1</v>
      </c>
      <c r="AC16" s="719">
        <f t="shared" si="3"/>
        <v>0.83333333333333337</v>
      </c>
      <c r="AD16" s="139" t="s">
        <v>3080</v>
      </c>
    </row>
    <row r="17" spans="1:31" s="226" customFormat="1" ht="256.5" x14ac:dyDescent="0.2">
      <c r="A17" s="425" t="s">
        <v>52</v>
      </c>
      <c r="B17" s="425" t="s">
        <v>53</v>
      </c>
      <c r="C17" s="143" t="s">
        <v>99</v>
      </c>
      <c r="D17" s="143" t="s">
        <v>100</v>
      </c>
      <c r="E17" s="143" t="s">
        <v>101</v>
      </c>
      <c r="F17" s="143" t="s">
        <v>112</v>
      </c>
      <c r="G17" s="143" t="s">
        <v>113</v>
      </c>
      <c r="H17" s="143">
        <v>1</v>
      </c>
      <c r="I17" s="143" t="s">
        <v>59</v>
      </c>
      <c r="J17" s="143" t="s">
        <v>110</v>
      </c>
      <c r="K17" s="143" t="s">
        <v>61</v>
      </c>
      <c r="L17" s="143" t="s">
        <v>114</v>
      </c>
      <c r="M17" s="140">
        <v>43621</v>
      </c>
      <c r="N17" s="140">
        <v>43956</v>
      </c>
      <c r="O17" s="721">
        <f t="shared" si="6"/>
        <v>47.857142857142854</v>
      </c>
      <c r="P17" s="722">
        <v>45686</v>
      </c>
      <c r="Q17" s="140">
        <v>44631</v>
      </c>
      <c r="R17" s="373">
        <f t="shared" si="0"/>
        <v>96.428571428571416</v>
      </c>
      <c r="S17" s="374" t="s">
        <v>63</v>
      </c>
      <c r="T17" s="723">
        <v>1</v>
      </c>
      <c r="U17" s="363">
        <v>1</v>
      </c>
      <c r="V17" s="376">
        <f t="shared" si="1"/>
        <v>0</v>
      </c>
      <c r="W17" s="377" t="str">
        <f t="shared" si="2"/>
        <v>Incumple</v>
      </c>
      <c r="X17" s="139" t="s">
        <v>115</v>
      </c>
      <c r="Y17" s="139" t="s">
        <v>116</v>
      </c>
      <c r="Z17" s="378">
        <f t="shared" si="4"/>
        <v>0.5</v>
      </c>
      <c r="AA17" s="718">
        <v>1</v>
      </c>
      <c r="AB17" s="718">
        <v>0.6</v>
      </c>
      <c r="AC17" s="719">
        <f t="shared" si="3"/>
        <v>0.70000000000000007</v>
      </c>
      <c r="AD17" s="139" t="s">
        <v>3081</v>
      </c>
    </row>
    <row r="18" spans="1:31" s="226" customFormat="1" ht="409.5" x14ac:dyDescent="0.2">
      <c r="A18" s="425" t="s">
        <v>52</v>
      </c>
      <c r="B18" s="425" t="s">
        <v>53</v>
      </c>
      <c r="C18" s="143" t="s">
        <v>99</v>
      </c>
      <c r="D18" s="143" t="s">
        <v>100</v>
      </c>
      <c r="E18" s="143" t="s">
        <v>101</v>
      </c>
      <c r="F18" s="143" t="s">
        <v>117</v>
      </c>
      <c r="G18" s="143" t="s">
        <v>118</v>
      </c>
      <c r="H18" s="143">
        <v>1</v>
      </c>
      <c r="I18" s="143" t="s">
        <v>59</v>
      </c>
      <c r="J18" s="143" t="s">
        <v>87</v>
      </c>
      <c r="K18" s="143" t="s">
        <v>61</v>
      </c>
      <c r="L18" s="143" t="s">
        <v>119</v>
      </c>
      <c r="M18" s="140">
        <v>43621</v>
      </c>
      <c r="N18" s="140">
        <v>43615</v>
      </c>
      <c r="O18" s="721">
        <f t="shared" si="6"/>
        <v>-0.8571428571428571</v>
      </c>
      <c r="P18" s="722">
        <v>45686</v>
      </c>
      <c r="Q18" s="140">
        <v>44631</v>
      </c>
      <c r="R18" s="373">
        <f t="shared" si="0"/>
        <v>145.14285714285714</v>
      </c>
      <c r="S18" s="374" t="s">
        <v>63</v>
      </c>
      <c r="T18" s="723" t="s">
        <v>105</v>
      </c>
      <c r="U18" s="363">
        <v>1</v>
      </c>
      <c r="V18" s="376">
        <f t="shared" si="1"/>
        <v>0</v>
      </c>
      <c r="W18" s="377" t="str">
        <f t="shared" si="2"/>
        <v>Incumple</v>
      </c>
      <c r="X18" s="139" t="s">
        <v>120</v>
      </c>
      <c r="Y18" s="139" t="s">
        <v>107</v>
      </c>
      <c r="Z18" s="378">
        <f t="shared" si="4"/>
        <v>0.5</v>
      </c>
      <c r="AA18" s="718">
        <v>1</v>
      </c>
      <c r="AB18" s="718">
        <v>1</v>
      </c>
      <c r="AC18" s="719">
        <f t="shared" si="3"/>
        <v>0.83333333333333337</v>
      </c>
      <c r="AD18" s="139" t="s">
        <v>3082</v>
      </c>
      <c r="AE18" s="379"/>
    </row>
    <row r="19" spans="1:31" s="226" customFormat="1" ht="409.5" x14ac:dyDescent="0.2">
      <c r="A19" s="425" t="s">
        <v>52</v>
      </c>
      <c r="B19" s="425" t="s">
        <v>53</v>
      </c>
      <c r="C19" s="143" t="s">
        <v>99</v>
      </c>
      <c r="D19" s="143" t="s">
        <v>100</v>
      </c>
      <c r="E19" s="143" t="s">
        <v>101</v>
      </c>
      <c r="F19" s="143" t="s">
        <v>121</v>
      </c>
      <c r="G19" s="143" t="s">
        <v>122</v>
      </c>
      <c r="H19" s="143">
        <v>1</v>
      </c>
      <c r="I19" s="143" t="s">
        <v>59</v>
      </c>
      <c r="J19" s="143" t="s">
        <v>60</v>
      </c>
      <c r="K19" s="143" t="s">
        <v>61</v>
      </c>
      <c r="L19" s="143" t="s">
        <v>123</v>
      </c>
      <c r="M19" s="140">
        <v>43621</v>
      </c>
      <c r="N19" s="140">
        <v>43956</v>
      </c>
      <c r="O19" s="721">
        <f t="shared" si="6"/>
        <v>47.857142857142854</v>
      </c>
      <c r="P19" s="722">
        <v>45686</v>
      </c>
      <c r="Q19" s="140">
        <v>44631</v>
      </c>
      <c r="R19" s="373">
        <f t="shared" si="0"/>
        <v>96.428571428571416</v>
      </c>
      <c r="S19" s="374" t="s">
        <v>63</v>
      </c>
      <c r="T19" s="723">
        <v>1</v>
      </c>
      <c r="U19" s="363">
        <v>1</v>
      </c>
      <c r="V19" s="376">
        <f t="shared" si="1"/>
        <v>0</v>
      </c>
      <c r="W19" s="377" t="str">
        <f t="shared" si="2"/>
        <v>Incumple</v>
      </c>
      <c r="X19" s="139" t="s">
        <v>120</v>
      </c>
      <c r="Y19" s="139" t="s">
        <v>107</v>
      </c>
      <c r="Z19" s="378">
        <f t="shared" si="4"/>
        <v>0.5</v>
      </c>
      <c r="AA19" s="718">
        <v>1</v>
      </c>
      <c r="AB19" s="718">
        <v>0.9</v>
      </c>
      <c r="AC19" s="719">
        <f t="shared" si="3"/>
        <v>0.79999999999999993</v>
      </c>
      <c r="AD19" s="139" t="s">
        <v>3083</v>
      </c>
    </row>
    <row r="20" spans="1:31" s="226" customFormat="1" ht="301.5" x14ac:dyDescent="0.2">
      <c r="A20" s="425" t="s">
        <v>52</v>
      </c>
      <c r="B20" s="425" t="s">
        <v>53</v>
      </c>
      <c r="C20" s="143" t="s">
        <v>124</v>
      </c>
      <c r="D20" s="143" t="s">
        <v>125</v>
      </c>
      <c r="E20" s="143" t="s">
        <v>126</v>
      </c>
      <c r="F20" s="143" t="s">
        <v>127</v>
      </c>
      <c r="G20" s="143" t="s">
        <v>128</v>
      </c>
      <c r="H20" s="143">
        <v>2</v>
      </c>
      <c r="I20" s="143" t="s">
        <v>129</v>
      </c>
      <c r="J20" s="143" t="s">
        <v>130</v>
      </c>
      <c r="K20" s="143" t="s">
        <v>61</v>
      </c>
      <c r="L20" s="143" t="s">
        <v>131</v>
      </c>
      <c r="M20" s="140">
        <v>43621</v>
      </c>
      <c r="N20" s="140">
        <v>43956</v>
      </c>
      <c r="O20" s="721">
        <f t="shared" si="6"/>
        <v>47.857142857142854</v>
      </c>
      <c r="P20" s="722">
        <v>45686</v>
      </c>
      <c r="Q20" s="140">
        <v>44631</v>
      </c>
      <c r="R20" s="373">
        <f t="shared" si="0"/>
        <v>96.428571428571416</v>
      </c>
      <c r="S20" s="374" t="s">
        <v>63</v>
      </c>
      <c r="T20" s="723">
        <v>2</v>
      </c>
      <c r="U20" s="363">
        <v>1</v>
      </c>
      <c r="V20" s="376">
        <f t="shared" si="1"/>
        <v>0</v>
      </c>
      <c r="W20" s="377" t="str">
        <f t="shared" si="2"/>
        <v>Incumple</v>
      </c>
      <c r="X20" s="720" t="s">
        <v>132</v>
      </c>
      <c r="Y20" s="139" t="s">
        <v>133</v>
      </c>
      <c r="Z20" s="378">
        <f t="shared" si="4"/>
        <v>0.5</v>
      </c>
      <c r="AA20" s="718">
        <v>1</v>
      </c>
      <c r="AB20" s="718">
        <v>0.7</v>
      </c>
      <c r="AC20" s="719">
        <f t="shared" si="3"/>
        <v>0.73333333333333339</v>
      </c>
      <c r="AD20" s="139" t="s">
        <v>3084</v>
      </c>
    </row>
    <row r="21" spans="1:31" s="226" customFormat="1" ht="300" customHeight="1" x14ac:dyDescent="0.2">
      <c r="A21" s="425" t="s">
        <v>52</v>
      </c>
      <c r="B21" s="425" t="s">
        <v>53</v>
      </c>
      <c r="C21" s="143" t="s">
        <v>124</v>
      </c>
      <c r="D21" s="143" t="s">
        <v>125</v>
      </c>
      <c r="E21" s="143" t="s">
        <v>126</v>
      </c>
      <c r="F21" s="143" t="s">
        <v>134</v>
      </c>
      <c r="G21" s="143" t="s">
        <v>135</v>
      </c>
      <c r="H21" s="143">
        <v>1</v>
      </c>
      <c r="I21" s="143" t="s">
        <v>129</v>
      </c>
      <c r="J21" s="143" t="s">
        <v>60</v>
      </c>
      <c r="K21" s="143" t="s">
        <v>61</v>
      </c>
      <c r="L21" s="143" t="s">
        <v>136</v>
      </c>
      <c r="M21" s="140">
        <v>43621</v>
      </c>
      <c r="N21" s="140">
        <v>43622</v>
      </c>
      <c r="O21" s="721">
        <f t="shared" si="6"/>
        <v>0.14285714285714285</v>
      </c>
      <c r="P21" s="722">
        <v>45686</v>
      </c>
      <c r="Q21" s="140">
        <v>44631</v>
      </c>
      <c r="R21" s="373">
        <f t="shared" si="0"/>
        <v>144.14285714285714</v>
      </c>
      <c r="S21" s="374" t="s">
        <v>63</v>
      </c>
      <c r="T21" s="723">
        <v>1</v>
      </c>
      <c r="U21" s="363">
        <v>1</v>
      </c>
      <c r="V21" s="376">
        <f t="shared" si="1"/>
        <v>0</v>
      </c>
      <c r="W21" s="377" t="str">
        <f t="shared" si="2"/>
        <v>Incumple</v>
      </c>
      <c r="X21" s="139" t="s">
        <v>132</v>
      </c>
      <c r="Y21" s="139" t="s">
        <v>137</v>
      </c>
      <c r="Z21" s="378">
        <f t="shared" si="4"/>
        <v>0.5</v>
      </c>
      <c r="AA21" s="718">
        <v>1</v>
      </c>
      <c r="AB21" s="718">
        <v>1</v>
      </c>
      <c r="AC21" s="719">
        <f t="shared" si="3"/>
        <v>0.83333333333333337</v>
      </c>
      <c r="AD21" s="139" t="s">
        <v>3085</v>
      </c>
    </row>
    <row r="22" spans="1:31" s="226" customFormat="1" ht="258.75" x14ac:dyDescent="0.2">
      <c r="A22" s="425" t="s">
        <v>52</v>
      </c>
      <c r="B22" s="425" t="s">
        <v>53</v>
      </c>
      <c r="C22" s="143" t="s">
        <v>124</v>
      </c>
      <c r="D22" s="143" t="s">
        <v>125</v>
      </c>
      <c r="E22" s="143" t="s">
        <v>126</v>
      </c>
      <c r="F22" s="143" t="s">
        <v>138</v>
      </c>
      <c r="G22" s="143" t="s">
        <v>139</v>
      </c>
      <c r="H22" s="143">
        <v>1</v>
      </c>
      <c r="I22" s="143" t="s">
        <v>129</v>
      </c>
      <c r="J22" s="143" t="s">
        <v>60</v>
      </c>
      <c r="K22" s="143" t="s">
        <v>61</v>
      </c>
      <c r="L22" s="143" t="s">
        <v>140</v>
      </c>
      <c r="M22" s="140">
        <v>43621</v>
      </c>
      <c r="N22" s="140">
        <v>43956</v>
      </c>
      <c r="O22" s="721">
        <f t="shared" si="6"/>
        <v>47.857142857142854</v>
      </c>
      <c r="P22" s="722">
        <v>45686</v>
      </c>
      <c r="Q22" s="140">
        <v>44631</v>
      </c>
      <c r="R22" s="373">
        <f t="shared" si="0"/>
        <v>96.428571428571416</v>
      </c>
      <c r="S22" s="374" t="s">
        <v>63</v>
      </c>
      <c r="T22" s="723" t="s">
        <v>141</v>
      </c>
      <c r="U22" s="363">
        <v>1</v>
      </c>
      <c r="V22" s="376">
        <f t="shared" si="1"/>
        <v>0</v>
      </c>
      <c r="W22" s="377" t="str">
        <f t="shared" si="2"/>
        <v>Incumple</v>
      </c>
      <c r="X22" s="139" t="s">
        <v>132</v>
      </c>
      <c r="Y22" s="139" t="s">
        <v>137</v>
      </c>
      <c r="Z22" s="378">
        <f t="shared" si="4"/>
        <v>0.5</v>
      </c>
      <c r="AA22" s="718">
        <v>0.8</v>
      </c>
      <c r="AB22" s="718">
        <v>0.5</v>
      </c>
      <c r="AC22" s="719">
        <f t="shared" si="3"/>
        <v>0.6</v>
      </c>
      <c r="AD22" s="139" t="s">
        <v>3086</v>
      </c>
    </row>
    <row r="23" spans="1:31" s="226" customFormat="1" ht="343.5" x14ac:dyDescent="0.2">
      <c r="A23" s="425" t="s">
        <v>52</v>
      </c>
      <c r="B23" s="425" t="s">
        <v>53</v>
      </c>
      <c r="C23" s="143" t="s">
        <v>142</v>
      </c>
      <c r="D23" s="143" t="s">
        <v>143</v>
      </c>
      <c r="E23" s="143" t="s">
        <v>144</v>
      </c>
      <c r="F23" s="143" t="s">
        <v>145</v>
      </c>
      <c r="G23" s="143" t="s">
        <v>146</v>
      </c>
      <c r="H23" s="143">
        <v>1</v>
      </c>
      <c r="I23" s="143" t="s">
        <v>147</v>
      </c>
      <c r="J23" s="143" t="s">
        <v>130</v>
      </c>
      <c r="K23" s="143" t="s">
        <v>61</v>
      </c>
      <c r="L23" s="143" t="s">
        <v>148</v>
      </c>
      <c r="M23" s="140">
        <v>43621</v>
      </c>
      <c r="N23" s="140">
        <v>43652</v>
      </c>
      <c r="O23" s="721">
        <f t="shared" si="6"/>
        <v>4.4285714285714288</v>
      </c>
      <c r="P23" s="722">
        <v>45686</v>
      </c>
      <c r="Q23" s="140">
        <v>44631</v>
      </c>
      <c r="R23" s="373">
        <f t="shared" si="0"/>
        <v>139.85714285714286</v>
      </c>
      <c r="S23" s="374" t="s">
        <v>63</v>
      </c>
      <c r="T23" s="723">
        <v>1</v>
      </c>
      <c r="U23" s="363">
        <v>1</v>
      </c>
      <c r="V23" s="376">
        <f t="shared" si="1"/>
        <v>0</v>
      </c>
      <c r="W23" s="377" t="str">
        <f t="shared" si="2"/>
        <v>Incumple</v>
      </c>
      <c r="X23" s="720" t="s">
        <v>149</v>
      </c>
      <c r="Y23" s="720" t="s">
        <v>150</v>
      </c>
      <c r="Z23" s="378">
        <f t="shared" si="4"/>
        <v>0.5</v>
      </c>
      <c r="AA23" s="718">
        <v>1</v>
      </c>
      <c r="AB23" s="718">
        <v>1</v>
      </c>
      <c r="AC23" s="719">
        <f t="shared" si="3"/>
        <v>0.83333333333333337</v>
      </c>
      <c r="AD23" s="139" t="s">
        <v>3087</v>
      </c>
    </row>
    <row r="24" spans="1:31" s="226" customFormat="1" ht="330" x14ac:dyDescent="0.2">
      <c r="A24" s="425" t="s">
        <v>52</v>
      </c>
      <c r="B24" s="425" t="s">
        <v>53</v>
      </c>
      <c r="C24" s="143" t="s">
        <v>142</v>
      </c>
      <c r="D24" s="143" t="s">
        <v>143</v>
      </c>
      <c r="E24" s="143" t="s">
        <v>144</v>
      </c>
      <c r="F24" s="143" t="s">
        <v>151</v>
      </c>
      <c r="G24" s="143" t="s">
        <v>152</v>
      </c>
      <c r="H24" s="143">
        <v>1</v>
      </c>
      <c r="I24" s="143" t="s">
        <v>147</v>
      </c>
      <c r="J24" s="143" t="s">
        <v>60</v>
      </c>
      <c r="K24" s="143" t="s">
        <v>61</v>
      </c>
      <c r="L24" s="143" t="s">
        <v>153</v>
      </c>
      <c r="M24" s="140">
        <v>43621</v>
      </c>
      <c r="N24" s="140">
        <v>43987</v>
      </c>
      <c r="O24" s="721">
        <f t="shared" si="6"/>
        <v>52.285714285714285</v>
      </c>
      <c r="P24" s="722">
        <v>45686</v>
      </c>
      <c r="Q24" s="140">
        <v>44631</v>
      </c>
      <c r="R24" s="373">
        <f t="shared" si="0"/>
        <v>92</v>
      </c>
      <c r="S24" s="374" t="s">
        <v>63</v>
      </c>
      <c r="T24" s="723">
        <v>1</v>
      </c>
      <c r="U24" s="363">
        <v>1</v>
      </c>
      <c r="V24" s="376">
        <f t="shared" si="1"/>
        <v>0</v>
      </c>
      <c r="W24" s="377" t="str">
        <f t="shared" si="2"/>
        <v>Incumple</v>
      </c>
      <c r="X24" s="720" t="s">
        <v>149</v>
      </c>
      <c r="Y24" s="720" t="s">
        <v>150</v>
      </c>
      <c r="Z24" s="378">
        <f t="shared" si="4"/>
        <v>0.5</v>
      </c>
      <c r="AA24" s="718">
        <v>1</v>
      </c>
      <c r="AB24" s="718">
        <v>0.5</v>
      </c>
      <c r="AC24" s="719">
        <f t="shared" si="3"/>
        <v>0.66666666666666663</v>
      </c>
      <c r="AD24" s="139" t="s">
        <v>3088</v>
      </c>
    </row>
    <row r="25" spans="1:31" s="226" customFormat="1" ht="409.5" customHeight="1" x14ac:dyDescent="0.2">
      <c r="A25" s="425" t="s">
        <v>52</v>
      </c>
      <c r="B25" s="425" t="s">
        <v>53</v>
      </c>
      <c r="C25" s="143" t="s">
        <v>154</v>
      </c>
      <c r="D25" s="143" t="s">
        <v>155</v>
      </c>
      <c r="E25" s="143" t="s">
        <v>156</v>
      </c>
      <c r="F25" s="143" t="s">
        <v>157</v>
      </c>
      <c r="G25" s="143" t="s">
        <v>158</v>
      </c>
      <c r="H25" s="143">
        <v>1</v>
      </c>
      <c r="I25" s="143" t="s">
        <v>159</v>
      </c>
      <c r="J25" s="143" t="s">
        <v>60</v>
      </c>
      <c r="K25" s="143" t="s">
        <v>61</v>
      </c>
      <c r="L25" s="143" t="s">
        <v>160</v>
      </c>
      <c r="M25" s="140">
        <v>43621</v>
      </c>
      <c r="N25" s="140">
        <v>43652</v>
      </c>
      <c r="O25" s="721">
        <f t="shared" si="6"/>
        <v>4.4285714285714288</v>
      </c>
      <c r="P25" s="722">
        <v>45686</v>
      </c>
      <c r="Q25" s="140">
        <v>44631</v>
      </c>
      <c r="R25" s="373">
        <f t="shared" si="0"/>
        <v>139.85714285714286</v>
      </c>
      <c r="S25" s="374" t="s">
        <v>63</v>
      </c>
      <c r="T25" s="723">
        <v>0.85</v>
      </c>
      <c r="U25" s="363">
        <v>0.85</v>
      </c>
      <c r="V25" s="376">
        <f t="shared" si="1"/>
        <v>0</v>
      </c>
      <c r="W25" s="377" t="str">
        <f t="shared" si="2"/>
        <v>Incumple</v>
      </c>
      <c r="X25" s="139" t="s">
        <v>3094</v>
      </c>
      <c r="Y25" s="139" t="s">
        <v>161</v>
      </c>
      <c r="Z25" s="378">
        <f t="shared" si="4"/>
        <v>0.42499999999999999</v>
      </c>
      <c r="AA25" s="644" t="s">
        <v>162</v>
      </c>
      <c r="AB25" s="644" t="s">
        <v>162</v>
      </c>
      <c r="AC25" s="719">
        <f t="shared" si="3"/>
        <v>0.42499999999999999</v>
      </c>
      <c r="AD25" s="139" t="s">
        <v>3089</v>
      </c>
    </row>
    <row r="26" spans="1:31" s="226" customFormat="1" ht="356.25" x14ac:dyDescent="0.2">
      <c r="A26" s="425" t="s">
        <v>52</v>
      </c>
      <c r="B26" s="425" t="s">
        <v>53</v>
      </c>
      <c r="C26" s="143" t="s">
        <v>154</v>
      </c>
      <c r="D26" s="143" t="s">
        <v>155</v>
      </c>
      <c r="E26" s="143" t="s">
        <v>156</v>
      </c>
      <c r="F26" s="143" t="s">
        <v>163</v>
      </c>
      <c r="G26" s="143" t="s">
        <v>164</v>
      </c>
      <c r="H26" s="143">
        <v>1</v>
      </c>
      <c r="I26" s="143" t="s">
        <v>159</v>
      </c>
      <c r="J26" s="143" t="s">
        <v>60</v>
      </c>
      <c r="K26" s="143" t="s">
        <v>61</v>
      </c>
      <c r="L26" s="143"/>
      <c r="M26" s="140">
        <v>43621</v>
      </c>
      <c r="N26" s="140">
        <v>43624</v>
      </c>
      <c r="O26" s="721">
        <f t="shared" si="6"/>
        <v>0.42857142857142855</v>
      </c>
      <c r="P26" s="722">
        <v>45686</v>
      </c>
      <c r="Q26" s="140">
        <v>44631</v>
      </c>
      <c r="R26" s="373">
        <f t="shared" si="0"/>
        <v>143.85714285714286</v>
      </c>
      <c r="S26" s="374" t="s">
        <v>63</v>
      </c>
      <c r="T26" s="723" t="s">
        <v>165</v>
      </c>
      <c r="U26" s="363">
        <v>0.7</v>
      </c>
      <c r="V26" s="376">
        <f t="shared" si="1"/>
        <v>0</v>
      </c>
      <c r="W26" s="377" t="str">
        <f t="shared" si="2"/>
        <v>Incumple</v>
      </c>
      <c r="X26" s="139" t="s">
        <v>3095</v>
      </c>
      <c r="Y26" s="139" t="s">
        <v>166</v>
      </c>
      <c r="Z26" s="378">
        <f t="shared" si="4"/>
        <v>0.35</v>
      </c>
      <c r="AA26" s="644" t="s">
        <v>162</v>
      </c>
      <c r="AB26" s="644" t="s">
        <v>162</v>
      </c>
      <c r="AC26" s="719">
        <f t="shared" ref="AC26:AC29" si="7">AVERAGE(Z26:AB26)</f>
        <v>0.35</v>
      </c>
      <c r="AD26" s="139" t="s">
        <v>3089</v>
      </c>
    </row>
    <row r="27" spans="1:31" s="226" customFormat="1" ht="144" x14ac:dyDescent="0.2">
      <c r="A27" s="425" t="s">
        <v>52</v>
      </c>
      <c r="B27" s="425" t="s">
        <v>53</v>
      </c>
      <c r="C27" s="143" t="s">
        <v>154</v>
      </c>
      <c r="D27" s="143" t="s">
        <v>155</v>
      </c>
      <c r="E27" s="143" t="s">
        <v>156</v>
      </c>
      <c r="F27" s="143" t="s">
        <v>167</v>
      </c>
      <c r="G27" s="143" t="s">
        <v>168</v>
      </c>
      <c r="H27" s="143">
        <v>1</v>
      </c>
      <c r="I27" s="143" t="s">
        <v>159</v>
      </c>
      <c r="J27" s="143" t="s">
        <v>60</v>
      </c>
      <c r="K27" s="143" t="s">
        <v>61</v>
      </c>
      <c r="L27" s="143" t="s">
        <v>169</v>
      </c>
      <c r="M27" s="140">
        <v>43621</v>
      </c>
      <c r="N27" s="140">
        <v>43622</v>
      </c>
      <c r="O27" s="721">
        <f t="shared" si="6"/>
        <v>0.14285714285714285</v>
      </c>
      <c r="P27" s="722">
        <v>45686</v>
      </c>
      <c r="Q27" s="140">
        <v>44631</v>
      </c>
      <c r="R27" s="373">
        <f t="shared" si="0"/>
        <v>144.14285714285714</v>
      </c>
      <c r="S27" s="374" t="s">
        <v>63</v>
      </c>
      <c r="T27" s="723">
        <v>1</v>
      </c>
      <c r="U27" s="363">
        <v>1</v>
      </c>
      <c r="V27" s="376">
        <f t="shared" si="1"/>
        <v>0</v>
      </c>
      <c r="W27" s="377" t="str">
        <f t="shared" si="2"/>
        <v>Incumple</v>
      </c>
      <c r="X27" s="139" t="s">
        <v>170</v>
      </c>
      <c r="Y27" s="139" t="s">
        <v>171</v>
      </c>
      <c r="Z27" s="378">
        <f t="shared" si="4"/>
        <v>0.5</v>
      </c>
      <c r="AA27" s="718">
        <v>1</v>
      </c>
      <c r="AB27" s="718">
        <v>1</v>
      </c>
      <c r="AC27" s="719">
        <f t="shared" si="7"/>
        <v>0.83333333333333337</v>
      </c>
      <c r="AD27" s="139" t="s">
        <v>3090</v>
      </c>
    </row>
    <row r="28" spans="1:31" s="226" customFormat="1" ht="372.75" x14ac:dyDescent="0.2">
      <c r="A28" s="425" t="s">
        <v>52</v>
      </c>
      <c r="B28" s="425" t="s">
        <v>53</v>
      </c>
      <c r="C28" s="143" t="s">
        <v>172</v>
      </c>
      <c r="D28" s="143" t="s">
        <v>173</v>
      </c>
      <c r="E28" s="143" t="s">
        <v>174</v>
      </c>
      <c r="F28" s="143" t="s">
        <v>175</v>
      </c>
      <c r="G28" s="143" t="s">
        <v>176</v>
      </c>
      <c r="H28" s="143">
        <v>1</v>
      </c>
      <c r="I28" s="143" t="s">
        <v>177</v>
      </c>
      <c r="J28" s="143" t="s">
        <v>60</v>
      </c>
      <c r="K28" s="143" t="s">
        <v>61</v>
      </c>
      <c r="L28" s="143" t="s">
        <v>178</v>
      </c>
      <c r="M28" s="140">
        <v>43621</v>
      </c>
      <c r="N28" s="140">
        <v>43652</v>
      </c>
      <c r="O28" s="721">
        <f t="shared" si="6"/>
        <v>4.4285714285714288</v>
      </c>
      <c r="P28" s="722">
        <v>45686</v>
      </c>
      <c r="Q28" s="140">
        <v>44631</v>
      </c>
      <c r="R28" s="373">
        <f t="shared" si="0"/>
        <v>139.85714285714286</v>
      </c>
      <c r="S28" s="374" t="s">
        <v>63</v>
      </c>
      <c r="T28" s="723">
        <v>0.9</v>
      </c>
      <c r="U28" s="363">
        <v>0.9</v>
      </c>
      <c r="V28" s="376">
        <f t="shared" si="1"/>
        <v>0</v>
      </c>
      <c r="W28" s="377" t="str">
        <f t="shared" si="2"/>
        <v>Incumple</v>
      </c>
      <c r="X28" s="139" t="s">
        <v>3096</v>
      </c>
      <c r="Y28" s="139" t="s">
        <v>179</v>
      </c>
      <c r="Z28" s="378">
        <f t="shared" si="4"/>
        <v>0.45</v>
      </c>
      <c r="AA28" s="718">
        <v>0.5</v>
      </c>
      <c r="AB28" s="718">
        <v>0.5</v>
      </c>
      <c r="AC28" s="719">
        <f t="shared" si="7"/>
        <v>0.48333333333333334</v>
      </c>
      <c r="AD28" s="139" t="s">
        <v>3091</v>
      </c>
    </row>
    <row r="29" spans="1:31" s="226" customFormat="1" ht="201" x14ac:dyDescent="0.2">
      <c r="A29" s="425" t="s">
        <v>52</v>
      </c>
      <c r="B29" s="425" t="s">
        <v>53</v>
      </c>
      <c r="C29" s="143" t="s">
        <v>180</v>
      </c>
      <c r="D29" s="143" t="s">
        <v>181</v>
      </c>
      <c r="E29" s="143" t="s">
        <v>182</v>
      </c>
      <c r="F29" s="143" t="s">
        <v>183</v>
      </c>
      <c r="G29" s="143" t="s">
        <v>184</v>
      </c>
      <c r="H29" s="143">
        <v>1</v>
      </c>
      <c r="I29" s="143" t="s">
        <v>185</v>
      </c>
      <c r="J29" s="143" t="s">
        <v>87</v>
      </c>
      <c r="K29" s="143" t="s">
        <v>61</v>
      </c>
      <c r="L29" s="143" t="s">
        <v>186</v>
      </c>
      <c r="M29" s="140">
        <v>43621</v>
      </c>
      <c r="N29" s="140">
        <v>43622</v>
      </c>
      <c r="O29" s="721">
        <f t="shared" si="6"/>
        <v>0.14285714285714285</v>
      </c>
      <c r="P29" s="722">
        <v>45686</v>
      </c>
      <c r="Q29" s="140">
        <v>43622</v>
      </c>
      <c r="R29" s="373">
        <f t="shared" si="0"/>
        <v>0</v>
      </c>
      <c r="S29" s="374" t="s">
        <v>63</v>
      </c>
      <c r="T29" s="720">
        <v>1</v>
      </c>
      <c r="U29" s="363">
        <v>1</v>
      </c>
      <c r="V29" s="376" t="str">
        <f t="shared" si="1"/>
        <v>100%</v>
      </c>
      <c r="W29" s="377" t="str">
        <f t="shared" si="2"/>
        <v>Cumple</v>
      </c>
      <c r="X29" s="139" t="s">
        <v>187</v>
      </c>
      <c r="Y29" s="139" t="s">
        <v>188</v>
      </c>
      <c r="Z29" s="378">
        <f t="shared" si="4"/>
        <v>1</v>
      </c>
      <c r="AA29" s="718">
        <v>0.6</v>
      </c>
      <c r="AB29" s="718">
        <v>0.6</v>
      </c>
      <c r="AC29" s="719">
        <f t="shared" si="7"/>
        <v>0.73333333333333339</v>
      </c>
      <c r="AD29" s="139" t="s">
        <v>3092</v>
      </c>
    </row>
    <row r="30" spans="1:31" s="226" customFormat="1" ht="315.75" x14ac:dyDescent="0.2">
      <c r="A30" s="425" t="s">
        <v>52</v>
      </c>
      <c r="B30" s="425" t="s">
        <v>53</v>
      </c>
      <c r="C30" s="143" t="s">
        <v>180</v>
      </c>
      <c r="D30" s="143" t="s">
        <v>181</v>
      </c>
      <c r="E30" s="143" t="s">
        <v>182</v>
      </c>
      <c r="F30" s="143" t="s">
        <v>189</v>
      </c>
      <c r="G30" s="143" t="s">
        <v>190</v>
      </c>
      <c r="H30" s="143">
        <v>1</v>
      </c>
      <c r="I30" s="143" t="s">
        <v>191</v>
      </c>
      <c r="J30" s="143" t="s">
        <v>87</v>
      </c>
      <c r="K30" s="143" t="s">
        <v>61</v>
      </c>
      <c r="L30" s="143" t="s">
        <v>192</v>
      </c>
      <c r="M30" s="140">
        <v>43621</v>
      </c>
      <c r="N30" s="140">
        <v>43652</v>
      </c>
      <c r="O30" s="721">
        <f>(N30-M30)/7</f>
        <v>4.4285714285714288</v>
      </c>
      <c r="P30" s="722">
        <v>45686</v>
      </c>
      <c r="Q30" s="140">
        <v>45146</v>
      </c>
      <c r="R30" s="373">
        <f t="shared" si="0"/>
        <v>213.42857142857144</v>
      </c>
      <c r="S30" s="374" t="s">
        <v>63</v>
      </c>
      <c r="T30" s="139">
        <v>1</v>
      </c>
      <c r="U30" s="363">
        <v>1</v>
      </c>
      <c r="V30" s="376">
        <f t="shared" si="1"/>
        <v>0</v>
      </c>
      <c r="W30" s="377" t="str">
        <f t="shared" si="2"/>
        <v>Incumple</v>
      </c>
      <c r="X30" s="720" t="s">
        <v>193</v>
      </c>
      <c r="Y30" s="139" t="s">
        <v>194</v>
      </c>
      <c r="Z30" s="378">
        <f t="shared" si="4"/>
        <v>0.5</v>
      </c>
      <c r="AA30" s="718">
        <v>0.8</v>
      </c>
      <c r="AB30" s="718">
        <v>0.8</v>
      </c>
      <c r="AC30" s="719">
        <f>AVERAGE(Z30:AB30)</f>
        <v>0.70000000000000007</v>
      </c>
      <c r="AD30" s="139" t="s">
        <v>3093</v>
      </c>
    </row>
    <row r="31" spans="1:31" ht="30" x14ac:dyDescent="0.2">
      <c r="H31" s="147">
        <v>11</v>
      </c>
      <c r="R31" s="847" t="s">
        <v>195</v>
      </c>
      <c r="S31" s="847"/>
      <c r="T31" s="147" t="s">
        <v>196</v>
      </c>
      <c r="U31" s="118">
        <f>AVERAGE(U7:U30)</f>
        <v>0.9770833333333333</v>
      </c>
      <c r="V31" s="148" t="s">
        <v>44</v>
      </c>
      <c r="W31" s="149">
        <f>(COUNTIF(W7:W30,"Cumple")*100%)/COUNTA(W7:W30)</f>
        <v>4.1666666666666664E-2</v>
      </c>
      <c r="Z31" s="302">
        <f>AVERAGE(Z7:Z30)</f>
        <v>0.50937500000000002</v>
      </c>
      <c r="AA31" s="845" t="s">
        <v>195</v>
      </c>
      <c r="AB31" s="846"/>
      <c r="AC31" s="177">
        <f>AVERAGE(AC7:AC30)</f>
        <v>0.71493055555555551</v>
      </c>
    </row>
  </sheetData>
  <autoFilter ref="A6:AD6" xr:uid="{11FEB7F6-6DCB-494B-B3C6-1B77A4288063}"/>
  <mergeCells count="29">
    <mergeCell ref="Z1:AD4"/>
    <mergeCell ref="W3:X3"/>
    <mergeCell ref="A1:B1"/>
    <mergeCell ref="C1:N1"/>
    <mergeCell ref="A2:B2"/>
    <mergeCell ref="C2:F2"/>
    <mergeCell ref="G2:H2"/>
    <mergeCell ref="I2:N2"/>
    <mergeCell ref="Q3:V3"/>
    <mergeCell ref="O1:P2"/>
    <mergeCell ref="Q1:Y2"/>
    <mergeCell ref="A3:B3"/>
    <mergeCell ref="C3:F3"/>
    <mergeCell ref="G3:H3"/>
    <mergeCell ref="I3:N3"/>
    <mergeCell ref="O3:P3"/>
    <mergeCell ref="T4:U4"/>
    <mergeCell ref="V4:Y4"/>
    <mergeCell ref="A4:B4"/>
    <mergeCell ref="C4:F4"/>
    <mergeCell ref="G4:H4"/>
    <mergeCell ref="I4:N4"/>
    <mergeCell ref="O4:P4"/>
    <mergeCell ref="Q4:S4"/>
    <mergeCell ref="AA31:AB31"/>
    <mergeCell ref="R31:S31"/>
    <mergeCell ref="A5:N5"/>
    <mergeCell ref="O5:Y5"/>
    <mergeCell ref="Z5:AD5"/>
  </mergeCells>
  <conditionalFormatting sqref="U6 U4">
    <cfRule type="colorScale" priority="8">
      <colorScale>
        <cfvo type="min"/>
        <cfvo type="percentile" val="50"/>
        <cfvo type="max"/>
        <color rgb="FFF8696B"/>
        <color rgb="FFFFEB84"/>
        <color rgb="FF63BE7B"/>
      </colorScale>
    </cfRule>
  </conditionalFormatting>
  <conditionalFormatting sqref="U7:U31">
    <cfRule type="cellIs" dxfId="483" priority="1" stopIfTrue="1" operator="between">
      <formula>0.8</formula>
      <formula>1</formula>
    </cfRule>
    <cfRule type="cellIs" dxfId="482" priority="2" stopIfTrue="1" operator="between">
      <formula>0.5</formula>
      <formula>0.79</formula>
    </cfRule>
    <cfRule type="cellIs" dxfId="481" priority="3" stopIfTrue="1" operator="between">
      <formula>0.3</formula>
      <formula>0.49</formula>
    </cfRule>
    <cfRule type="cellIs" dxfId="480" priority="4" stopIfTrue="1" operator="between">
      <formula>0</formula>
      <formula>0.29</formula>
    </cfRule>
  </conditionalFormatting>
  <conditionalFormatting sqref="AC31">
    <cfRule type="cellIs" dxfId="479" priority="5" operator="between">
      <formula>0.3</formula>
      <formula>0</formula>
    </cfRule>
    <cfRule type="cellIs" dxfId="478" priority="6" operator="between">
      <formula>0.6999</formula>
      <formula>0.3111</formula>
    </cfRule>
    <cfRule type="cellIs" dxfId="477" priority="7" operator="between">
      <formula>1</formula>
      <formula>0.7</formula>
    </cfRule>
  </conditionalFormatting>
  <dataValidations count="3">
    <dataValidation allowBlank="1" showInputMessage="1" showErrorMessage="1" errorTitle="Estado" error="No es un estado de los Planes de Mejoramiento" sqref="Q4:S4" xr:uid="{7B3CD9B3-E08D-4C13-B82A-5694A2CBCA76}"/>
    <dataValidation type="list" allowBlank="1" showInputMessage="1" showErrorMessage="1" sqref="A7:A30" xr:uid="{35700B15-56A3-4D12-9285-BB081C95DE69}">
      <formula1>$AP$4:$AP$10</formula1>
    </dataValidation>
    <dataValidation type="list" allowBlank="1" showInputMessage="1" showErrorMessage="1" sqref="B7:B30" xr:uid="{4B1A919A-B658-48D7-9A11-3F8CA35AA1F8}">
      <formula1>$AV$5:$AV$8</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AX13"/>
  <sheetViews>
    <sheetView topLeftCell="M1" zoomScale="89" zoomScaleNormal="89" zoomScaleSheetLayoutView="49" workbookViewId="0">
      <selection activeCell="U7" sqref="U7"/>
    </sheetView>
  </sheetViews>
  <sheetFormatPr baseColWidth="10" defaultColWidth="17.5703125" defaultRowHeight="12.75" x14ac:dyDescent="0.2"/>
  <cols>
    <col min="1" max="1" width="12.140625" customWidth="1"/>
    <col min="2" max="2" width="11.42578125" customWidth="1"/>
    <col min="3" max="3" width="46.28515625" customWidth="1"/>
    <col min="4" max="4" width="34.85546875" customWidth="1"/>
    <col min="5" max="5" width="36.7109375" customWidth="1"/>
    <col min="6" max="6" width="33.5703125" customWidth="1"/>
    <col min="7" max="7" width="25.140625" customWidth="1"/>
    <col min="8" max="8" width="13" customWidth="1"/>
    <col min="9" max="9" width="26.5703125" customWidth="1"/>
    <col min="10" max="10" width="16.140625" customWidth="1"/>
    <col min="11" max="11" width="21.42578125" customWidth="1"/>
    <col min="12" max="12" width="20.5703125" customWidth="1"/>
    <col min="13" max="13" width="12.7109375" customWidth="1"/>
    <col min="14" max="14" width="14" customWidth="1"/>
    <col min="15" max="15" width="12" customWidth="1"/>
    <col min="16" max="16" width="13.28515625" customWidth="1"/>
    <col min="17" max="17" width="13.140625" customWidth="1"/>
    <col min="18" max="18" width="11.5703125" customWidth="1"/>
    <col min="19" max="19" width="11.140625" customWidth="1"/>
    <col min="20" max="20" width="19.7109375" customWidth="1"/>
    <col min="21" max="21" width="16.5703125" customWidth="1"/>
    <col min="22" max="22" width="14.28515625" customWidth="1"/>
    <col min="23" max="23" width="16.7109375" customWidth="1"/>
    <col min="24" max="24" width="46.7109375" customWidth="1"/>
    <col min="25" max="25" width="65.28515625" customWidth="1"/>
    <col min="26" max="26" width="12.28515625" customWidth="1"/>
    <col min="27" max="27" width="13.42578125" customWidth="1"/>
    <col min="28" max="28" width="14.140625" customWidth="1"/>
    <col min="29" max="29" width="14.42578125" customWidth="1"/>
    <col min="30" max="30" width="72.42578125" customWidth="1"/>
    <col min="41" max="41" width="0" hidden="1" customWidth="1"/>
    <col min="42" max="42" width="28.5703125" hidden="1" customWidth="1"/>
    <col min="43" max="43" width="42" hidden="1" customWidth="1"/>
    <col min="44" max="44" width="17.5703125" hidden="1" customWidth="1"/>
    <col min="45" max="45" width="51.42578125" hidden="1" customWidth="1"/>
    <col min="46" max="46" width="8.5703125" hidden="1" customWidth="1"/>
    <col min="47" max="47" width="7.140625" hidden="1" customWidth="1"/>
    <col min="48" max="48" width="20.85546875" hidden="1" customWidth="1"/>
    <col min="49" max="49" width="17.5703125" hidden="1" customWidth="1"/>
    <col min="50" max="50" width="22.42578125" hidden="1" customWidth="1"/>
  </cols>
  <sheetData>
    <row r="1" spans="1:30" ht="105.6" customHeight="1" x14ac:dyDescent="0.2">
      <c r="A1" s="965" t="s">
        <v>0</v>
      </c>
      <c r="B1" s="965"/>
      <c r="C1" s="965" t="s">
        <v>1</v>
      </c>
      <c r="D1" s="965"/>
      <c r="E1" s="965"/>
      <c r="F1" s="965"/>
      <c r="G1" s="965"/>
      <c r="H1" s="965"/>
      <c r="I1" s="965"/>
      <c r="J1" s="965"/>
      <c r="K1" s="965"/>
      <c r="L1" s="965"/>
      <c r="M1" s="965"/>
      <c r="N1" s="965"/>
      <c r="O1" s="965"/>
      <c r="P1" s="965"/>
      <c r="Q1" s="965" t="s">
        <v>2</v>
      </c>
      <c r="R1" s="965"/>
      <c r="S1" s="965"/>
      <c r="T1" s="965"/>
      <c r="U1" s="965"/>
      <c r="V1" s="965"/>
      <c r="W1" s="965"/>
      <c r="X1" s="965"/>
      <c r="Y1" s="965"/>
      <c r="Z1" s="861" t="s">
        <v>2</v>
      </c>
      <c r="AA1" s="861"/>
      <c r="AB1" s="861"/>
      <c r="AC1" s="861"/>
      <c r="AD1" s="861"/>
    </row>
    <row r="2" spans="1:30" ht="20.100000000000001" customHeight="1" x14ac:dyDescent="0.2">
      <c r="A2" s="965" t="s">
        <v>197</v>
      </c>
      <c r="B2" s="965"/>
      <c r="C2" s="965" t="s">
        <v>4</v>
      </c>
      <c r="D2" s="968"/>
      <c r="E2" s="968"/>
      <c r="F2" s="968"/>
      <c r="G2" s="965" t="s">
        <v>5</v>
      </c>
      <c r="H2" s="965"/>
      <c r="I2" s="965" t="s">
        <v>6</v>
      </c>
      <c r="J2" s="965"/>
      <c r="K2" s="965"/>
      <c r="L2" s="965"/>
      <c r="M2" s="965"/>
      <c r="N2" s="965"/>
      <c r="O2" s="965"/>
      <c r="P2" s="965"/>
      <c r="Q2" s="965"/>
      <c r="R2" s="965"/>
      <c r="S2" s="965"/>
      <c r="T2" s="965"/>
      <c r="U2" s="965"/>
      <c r="V2" s="965"/>
      <c r="W2" s="965"/>
      <c r="X2" s="965"/>
      <c r="Y2" s="965"/>
      <c r="Z2" s="861"/>
      <c r="AA2" s="861"/>
      <c r="AB2" s="861"/>
      <c r="AC2" s="861"/>
      <c r="AD2" s="861"/>
    </row>
    <row r="3" spans="1:30" ht="25.5" customHeight="1" x14ac:dyDescent="0.2">
      <c r="A3" s="964" t="s">
        <v>7</v>
      </c>
      <c r="B3" s="964"/>
      <c r="C3" s="965" t="s">
        <v>1021</v>
      </c>
      <c r="D3" s="965"/>
      <c r="E3" s="965"/>
      <c r="F3" s="965"/>
      <c r="G3" s="964" t="s">
        <v>9</v>
      </c>
      <c r="H3" s="964"/>
      <c r="I3" s="967">
        <v>43836</v>
      </c>
      <c r="J3" s="965"/>
      <c r="K3" s="965"/>
      <c r="L3" s="965"/>
      <c r="M3" s="965"/>
      <c r="N3" s="965"/>
      <c r="O3" s="964" t="s">
        <v>10</v>
      </c>
      <c r="P3" s="964"/>
      <c r="Q3" s="908">
        <v>45679</v>
      </c>
      <c r="R3" s="908"/>
      <c r="S3" s="908"/>
      <c r="T3" s="908"/>
      <c r="U3" s="908"/>
      <c r="V3" s="908"/>
      <c r="W3" s="964" t="s">
        <v>11</v>
      </c>
      <c r="X3" s="964"/>
      <c r="Y3" s="279" t="s">
        <v>385</v>
      </c>
      <c r="Z3" s="861"/>
      <c r="AA3" s="861"/>
      <c r="AB3" s="861"/>
      <c r="AC3" s="861"/>
      <c r="AD3" s="861"/>
    </row>
    <row r="4" spans="1:30" ht="65.25" customHeight="1" x14ac:dyDescent="0.2">
      <c r="A4" s="964" t="s">
        <v>13</v>
      </c>
      <c r="B4" s="964"/>
      <c r="C4" s="965" t="s">
        <v>1052</v>
      </c>
      <c r="D4" s="966"/>
      <c r="E4" s="966"/>
      <c r="F4" s="966"/>
      <c r="G4" s="964" t="s">
        <v>15</v>
      </c>
      <c r="H4" s="964"/>
      <c r="I4" s="967">
        <v>44650</v>
      </c>
      <c r="J4" s="967"/>
      <c r="K4" s="967"/>
      <c r="L4" s="967"/>
      <c r="M4" s="967"/>
      <c r="N4" s="967"/>
      <c r="O4" s="964" t="s">
        <v>16</v>
      </c>
      <c r="P4" s="964"/>
      <c r="Q4" s="965" t="s">
        <v>491</v>
      </c>
      <c r="R4" s="965"/>
      <c r="S4" s="965"/>
      <c r="T4" s="963" t="s">
        <v>18</v>
      </c>
      <c r="U4" s="963"/>
      <c r="V4" s="861" t="s">
        <v>3161</v>
      </c>
      <c r="W4" s="861"/>
      <c r="X4" s="861"/>
      <c r="Y4" s="861"/>
      <c r="Z4" s="861"/>
      <c r="AA4" s="861"/>
      <c r="AB4" s="861"/>
      <c r="AC4" s="861"/>
      <c r="AD4" s="861"/>
    </row>
    <row r="5" spans="1:30" ht="28.5" customHeight="1" thickBot="1" x14ac:dyDescent="0.25">
      <c r="A5" s="848" t="s">
        <v>19</v>
      </c>
      <c r="B5" s="849"/>
      <c r="C5" s="849"/>
      <c r="D5" s="849"/>
      <c r="E5" s="849"/>
      <c r="F5" s="849"/>
      <c r="G5" s="849"/>
      <c r="H5" s="849"/>
      <c r="I5" s="849"/>
      <c r="J5" s="849"/>
      <c r="K5" s="849"/>
      <c r="L5" s="849"/>
      <c r="M5" s="849"/>
      <c r="N5" s="850"/>
      <c r="O5" s="851" t="s">
        <v>20</v>
      </c>
      <c r="P5" s="852"/>
      <c r="Q5" s="852"/>
      <c r="R5" s="852"/>
      <c r="S5" s="852"/>
      <c r="T5" s="852"/>
      <c r="U5" s="852"/>
      <c r="V5" s="852"/>
      <c r="W5" s="852"/>
      <c r="X5" s="852"/>
      <c r="Y5" s="853"/>
      <c r="Z5" s="854" t="s">
        <v>21</v>
      </c>
      <c r="AA5" s="855"/>
      <c r="AB5" s="855"/>
      <c r="AC5" s="855"/>
      <c r="AD5" s="856"/>
    </row>
    <row r="6" spans="1:30" ht="68.25" customHeight="1" x14ac:dyDescent="0.2">
      <c r="A6" s="165" t="s">
        <v>22</v>
      </c>
      <c r="B6" s="165" t="s">
        <v>23</v>
      </c>
      <c r="C6" s="165" t="s">
        <v>24</v>
      </c>
      <c r="D6" s="165" t="s">
        <v>25</v>
      </c>
      <c r="E6" s="165" t="s">
        <v>26</v>
      </c>
      <c r="F6" s="165" t="s">
        <v>27</v>
      </c>
      <c r="G6" s="165" t="s">
        <v>28</v>
      </c>
      <c r="H6" s="165" t="s">
        <v>29</v>
      </c>
      <c r="I6" s="165" t="s">
        <v>30</v>
      </c>
      <c r="J6" s="165" t="s">
        <v>31</v>
      </c>
      <c r="K6" s="165" t="s">
        <v>32</v>
      </c>
      <c r="L6" s="165" t="s">
        <v>33</v>
      </c>
      <c r="M6" s="165" t="s">
        <v>34</v>
      </c>
      <c r="N6" s="165" t="s">
        <v>35</v>
      </c>
      <c r="O6" s="166" t="s">
        <v>36</v>
      </c>
      <c r="P6" s="166" t="s">
        <v>37</v>
      </c>
      <c r="Q6" s="166" t="s">
        <v>38</v>
      </c>
      <c r="R6" s="166" t="s">
        <v>39</v>
      </c>
      <c r="S6" s="166" t="s">
        <v>40</v>
      </c>
      <c r="T6" s="166" t="s">
        <v>41</v>
      </c>
      <c r="U6" s="166" t="s">
        <v>42</v>
      </c>
      <c r="V6" s="166" t="s">
        <v>43</v>
      </c>
      <c r="W6" s="166" t="s">
        <v>44</v>
      </c>
      <c r="X6" s="166" t="s">
        <v>45</v>
      </c>
      <c r="Y6" s="166" t="s">
        <v>46</v>
      </c>
      <c r="Z6" s="167" t="s">
        <v>47</v>
      </c>
      <c r="AA6" s="167" t="s">
        <v>48</v>
      </c>
      <c r="AB6" s="167" t="s">
        <v>49</v>
      </c>
      <c r="AC6" s="167" t="s">
        <v>50</v>
      </c>
      <c r="AD6" s="167" t="s">
        <v>51</v>
      </c>
    </row>
    <row r="7" spans="1:30" ht="185.25" x14ac:dyDescent="0.2">
      <c r="A7" s="163" t="s">
        <v>52</v>
      </c>
      <c r="B7" s="163" t="s">
        <v>53</v>
      </c>
      <c r="C7" s="498" t="s">
        <v>1053</v>
      </c>
      <c r="D7" s="498" t="s">
        <v>1054</v>
      </c>
      <c r="E7" s="498" t="s">
        <v>1055</v>
      </c>
      <c r="F7" s="498" t="s">
        <v>1056</v>
      </c>
      <c r="G7" s="498" t="s">
        <v>1057</v>
      </c>
      <c r="H7" s="499">
        <v>1</v>
      </c>
      <c r="I7" s="500" t="s">
        <v>1058</v>
      </c>
      <c r="J7" s="500" t="s">
        <v>60</v>
      </c>
      <c r="K7" s="500" t="s">
        <v>61</v>
      </c>
      <c r="L7" s="500" t="s">
        <v>1057</v>
      </c>
      <c r="M7" s="752">
        <v>44429</v>
      </c>
      <c r="N7" s="752">
        <v>45657</v>
      </c>
      <c r="O7" s="753">
        <f t="shared" ref="O7:O12" si="0">(N7-M7)/7</f>
        <v>175.42857142857142</v>
      </c>
      <c r="P7" s="754">
        <v>45679</v>
      </c>
      <c r="Q7" s="754">
        <f>P7</f>
        <v>45679</v>
      </c>
      <c r="R7" s="169">
        <f t="shared" ref="R7:R12" si="1">(Q7-M7)/7-O7</f>
        <v>3.1428571428571672</v>
      </c>
      <c r="S7" s="170" t="str">
        <f t="shared" ref="S7:S12" ca="1" si="2">IF((N7-TODAY())/7&gt;=0,"En tiempo","Alerta")</f>
        <v>Alerta</v>
      </c>
      <c r="T7" s="755">
        <v>0.85</v>
      </c>
      <c r="U7" s="118">
        <f>IF(T7/H7=1,1,+T7/H7)</f>
        <v>0.85</v>
      </c>
      <c r="V7" s="172">
        <f>IF(R7&gt;O7,0%,IF(R7&lt;=0,"100%",1-(R7/O7)))</f>
        <v>0.98208469055374581</v>
      </c>
      <c r="W7" s="173" t="str">
        <f t="shared" ref="W7:W12" si="3">IF(Q7&lt;=N7,"Cumple","Incumple")</f>
        <v>Incumple</v>
      </c>
      <c r="X7" s="756" t="s">
        <v>1059</v>
      </c>
      <c r="Y7" s="757" t="s">
        <v>1060</v>
      </c>
      <c r="Z7" s="172">
        <f t="shared" ref="Z7:Z12" si="4">(U7+V7)/2</f>
        <v>0.91604234527687289</v>
      </c>
      <c r="AA7" s="174"/>
      <c r="AB7" s="174"/>
      <c r="AC7" s="181"/>
      <c r="AD7" s="176" t="s">
        <v>404</v>
      </c>
    </row>
    <row r="8" spans="1:30" ht="203.25" customHeight="1" x14ac:dyDescent="0.2">
      <c r="A8" s="163" t="s">
        <v>52</v>
      </c>
      <c r="B8" s="163" t="s">
        <v>53</v>
      </c>
      <c r="C8" s="498" t="s">
        <v>1061</v>
      </c>
      <c r="D8" s="498" t="s">
        <v>1054</v>
      </c>
      <c r="E8" s="505" t="s">
        <v>1062</v>
      </c>
      <c r="F8" s="498" t="s">
        <v>1063</v>
      </c>
      <c r="G8" s="498" t="s">
        <v>1064</v>
      </c>
      <c r="H8" s="499">
        <v>1</v>
      </c>
      <c r="I8" s="500" t="s">
        <v>1058</v>
      </c>
      <c r="J8" s="500" t="s">
        <v>60</v>
      </c>
      <c r="K8" s="500" t="s">
        <v>61</v>
      </c>
      <c r="L8" s="500" t="s">
        <v>1064</v>
      </c>
      <c r="M8" s="752">
        <v>44429</v>
      </c>
      <c r="N8" s="752">
        <v>45657</v>
      </c>
      <c r="O8" s="753">
        <f t="shared" si="0"/>
        <v>175.42857142857142</v>
      </c>
      <c r="P8" s="754">
        <v>45679</v>
      </c>
      <c r="Q8" s="754">
        <f>P8</f>
        <v>45679</v>
      </c>
      <c r="R8" s="169">
        <f t="shared" si="1"/>
        <v>3.1428571428571672</v>
      </c>
      <c r="S8" s="170" t="str">
        <f t="shared" ca="1" si="2"/>
        <v>Alerta</v>
      </c>
      <c r="T8" s="755">
        <v>0.9</v>
      </c>
      <c r="U8" s="118">
        <f t="shared" ref="U8:U12" si="5">IF(T8/H8=1,1,+T8/H8)</f>
        <v>0.9</v>
      </c>
      <c r="V8" s="172">
        <f t="shared" ref="V8:V11" si="6">IF(R8&gt;O8,0%,IF(R8&lt;=0,"100%",1-(R8/O8)))</f>
        <v>0.98208469055374581</v>
      </c>
      <c r="W8" s="173" t="str">
        <f t="shared" si="3"/>
        <v>Incumple</v>
      </c>
      <c r="X8" s="756" t="s">
        <v>1059</v>
      </c>
      <c r="Y8" s="757" t="s">
        <v>1065</v>
      </c>
      <c r="Z8" s="172">
        <f t="shared" si="4"/>
        <v>0.94104234527687292</v>
      </c>
      <c r="AA8" s="174">
        <v>0.8</v>
      </c>
      <c r="AB8" s="174">
        <v>0.6</v>
      </c>
      <c r="AC8" s="175">
        <f>AVERAGE(Z8:AB8)</f>
        <v>0.78034744842562442</v>
      </c>
      <c r="AD8" s="176" t="s">
        <v>1066</v>
      </c>
    </row>
    <row r="9" spans="1:30" ht="336" customHeight="1" x14ac:dyDescent="0.2">
      <c r="A9" s="163" t="s">
        <v>52</v>
      </c>
      <c r="B9" s="163" t="s">
        <v>53</v>
      </c>
      <c r="C9" s="506" t="s">
        <v>1067</v>
      </c>
      <c r="D9" s="182" t="s">
        <v>1068</v>
      </c>
      <c r="E9" s="498" t="s">
        <v>1069</v>
      </c>
      <c r="F9" s="507" t="s">
        <v>1070</v>
      </c>
      <c r="G9" s="498" t="s">
        <v>1071</v>
      </c>
      <c r="H9" s="499">
        <v>1</v>
      </c>
      <c r="I9" s="500" t="s">
        <v>1072</v>
      </c>
      <c r="J9" s="500" t="s">
        <v>60</v>
      </c>
      <c r="K9" s="500" t="s">
        <v>61</v>
      </c>
      <c r="L9" s="500" t="s">
        <v>1071</v>
      </c>
      <c r="M9" s="752">
        <v>44429</v>
      </c>
      <c r="N9" s="752">
        <v>45838</v>
      </c>
      <c r="O9" s="753">
        <f t="shared" si="0"/>
        <v>201.28571428571428</v>
      </c>
      <c r="P9" s="754">
        <v>45679</v>
      </c>
      <c r="Q9" s="754">
        <f>P9</f>
        <v>45679</v>
      </c>
      <c r="R9" s="169">
        <f t="shared" si="1"/>
        <v>-22.714285714285694</v>
      </c>
      <c r="S9" s="170" t="str">
        <f t="shared" ca="1" si="2"/>
        <v>En tiempo</v>
      </c>
      <c r="T9" s="755">
        <v>0.5</v>
      </c>
      <c r="U9" s="118">
        <f t="shared" si="5"/>
        <v>0.5</v>
      </c>
      <c r="V9" s="172" t="str">
        <f t="shared" si="6"/>
        <v>100%</v>
      </c>
      <c r="W9" s="173" t="str">
        <f t="shared" si="3"/>
        <v>Cumple</v>
      </c>
      <c r="X9" s="756" t="s">
        <v>1073</v>
      </c>
      <c r="Y9" s="757" t="s">
        <v>3162</v>
      </c>
      <c r="Z9" s="172">
        <f t="shared" si="4"/>
        <v>0.75</v>
      </c>
      <c r="AA9" s="174"/>
      <c r="AB9" s="174"/>
      <c r="AC9" s="181"/>
      <c r="AD9" s="176" t="s">
        <v>1074</v>
      </c>
    </row>
    <row r="10" spans="1:30" ht="203.25" customHeight="1" x14ac:dyDescent="0.2">
      <c r="A10" s="163" t="s">
        <v>52</v>
      </c>
      <c r="B10" s="163" t="s">
        <v>53</v>
      </c>
      <c r="C10" s="508" t="s">
        <v>1075</v>
      </c>
      <c r="D10" s="182" t="s">
        <v>1068</v>
      </c>
      <c r="E10" s="505" t="s">
        <v>1076</v>
      </c>
      <c r="F10" s="507" t="s">
        <v>1077</v>
      </c>
      <c r="G10" s="498" t="s">
        <v>1071</v>
      </c>
      <c r="H10" s="498">
        <v>1</v>
      </c>
      <c r="I10" s="500" t="s">
        <v>1058</v>
      </c>
      <c r="J10" s="500" t="s">
        <v>60</v>
      </c>
      <c r="K10" s="500" t="s">
        <v>61</v>
      </c>
      <c r="L10" s="500" t="s">
        <v>1071</v>
      </c>
      <c r="M10" s="752">
        <v>44429</v>
      </c>
      <c r="N10" s="752">
        <v>45657</v>
      </c>
      <c r="O10" s="753">
        <f>(N10-M10)/7</f>
        <v>175.42857142857142</v>
      </c>
      <c r="P10" s="754">
        <v>45679</v>
      </c>
      <c r="Q10" s="754">
        <f>P10</f>
        <v>45679</v>
      </c>
      <c r="R10" s="169">
        <f t="shared" si="1"/>
        <v>3.1428571428571672</v>
      </c>
      <c r="S10" s="170" t="str">
        <f t="shared" ca="1" si="2"/>
        <v>Alerta</v>
      </c>
      <c r="T10" s="755">
        <v>0.7</v>
      </c>
      <c r="U10" s="118">
        <f t="shared" si="5"/>
        <v>0.7</v>
      </c>
      <c r="V10" s="172">
        <f t="shared" si="6"/>
        <v>0.98208469055374581</v>
      </c>
      <c r="W10" s="173" t="str">
        <f t="shared" si="3"/>
        <v>Incumple</v>
      </c>
      <c r="X10" s="756" t="s">
        <v>1059</v>
      </c>
      <c r="Y10" s="757" t="s">
        <v>1078</v>
      </c>
      <c r="Z10" s="172">
        <f t="shared" si="4"/>
        <v>0.84104234527687294</v>
      </c>
      <c r="AA10" s="174"/>
      <c r="AB10" s="174"/>
      <c r="AC10" s="181"/>
      <c r="AD10" s="176" t="s">
        <v>1079</v>
      </c>
    </row>
    <row r="11" spans="1:30" ht="185.25" x14ac:dyDescent="0.2">
      <c r="A11" s="163" t="s">
        <v>52</v>
      </c>
      <c r="B11" s="163" t="s">
        <v>53</v>
      </c>
      <c r="C11" s="498" t="s">
        <v>1080</v>
      </c>
      <c r="D11" s="182" t="s">
        <v>1081</v>
      </c>
      <c r="E11" s="498" t="s">
        <v>1082</v>
      </c>
      <c r="F11" s="508" t="s">
        <v>1083</v>
      </c>
      <c r="G11" s="498" t="s">
        <v>1084</v>
      </c>
      <c r="H11" s="498">
        <v>1</v>
      </c>
      <c r="I11" s="500" t="s">
        <v>1072</v>
      </c>
      <c r="J11" s="500" t="s">
        <v>60</v>
      </c>
      <c r="K11" s="500" t="s">
        <v>61</v>
      </c>
      <c r="L11" s="500" t="s">
        <v>1084</v>
      </c>
      <c r="M11" s="752">
        <v>44429</v>
      </c>
      <c r="N11" s="752">
        <v>44560</v>
      </c>
      <c r="O11" s="753">
        <f t="shared" si="0"/>
        <v>18.714285714285715</v>
      </c>
      <c r="P11" s="752">
        <v>44742</v>
      </c>
      <c r="Q11" s="752">
        <v>44742</v>
      </c>
      <c r="R11" s="169">
        <f t="shared" si="1"/>
        <v>26</v>
      </c>
      <c r="S11" s="170" t="str">
        <f t="shared" ca="1" si="2"/>
        <v>Alerta</v>
      </c>
      <c r="T11" s="755">
        <v>1</v>
      </c>
      <c r="U11" s="118">
        <f>IF(T11/H11=1,1,+T11/H11)</f>
        <v>1</v>
      </c>
      <c r="V11" s="172">
        <f t="shared" si="6"/>
        <v>0</v>
      </c>
      <c r="W11" s="173" t="str">
        <f t="shared" si="3"/>
        <v>Incumple</v>
      </c>
      <c r="X11" s="756" t="s">
        <v>1085</v>
      </c>
      <c r="Y11" s="757" t="s">
        <v>1086</v>
      </c>
      <c r="Z11" s="172">
        <f t="shared" si="4"/>
        <v>0.5</v>
      </c>
      <c r="AA11" s="174">
        <v>0.7</v>
      </c>
      <c r="AB11" s="174">
        <v>0.5</v>
      </c>
      <c r="AC11" s="175">
        <f t="shared" ref="AC11:AC12" si="7">AVERAGE(Z11:AB11)</f>
        <v>0.56666666666666665</v>
      </c>
      <c r="AD11" s="176" t="s">
        <v>1087</v>
      </c>
    </row>
    <row r="12" spans="1:30" ht="114" x14ac:dyDescent="0.2">
      <c r="A12" s="163" t="s">
        <v>52</v>
      </c>
      <c r="B12" s="163" t="s">
        <v>53</v>
      </c>
      <c r="C12" s="498" t="s">
        <v>1088</v>
      </c>
      <c r="D12" s="182" t="s">
        <v>1089</v>
      </c>
      <c r="E12" s="508" t="s">
        <v>1090</v>
      </c>
      <c r="F12" s="508" t="s">
        <v>1091</v>
      </c>
      <c r="G12" s="500" t="s">
        <v>1064</v>
      </c>
      <c r="H12" s="498">
        <v>1</v>
      </c>
      <c r="I12" s="500" t="s">
        <v>1072</v>
      </c>
      <c r="J12" s="500" t="s">
        <v>60</v>
      </c>
      <c r="K12" s="500" t="s">
        <v>61</v>
      </c>
      <c r="L12" s="500" t="s">
        <v>1064</v>
      </c>
      <c r="M12" s="752">
        <v>44429</v>
      </c>
      <c r="N12" s="752">
        <v>44560</v>
      </c>
      <c r="O12" s="753">
        <f t="shared" si="0"/>
        <v>18.714285714285715</v>
      </c>
      <c r="P12" s="752">
        <v>44560</v>
      </c>
      <c r="Q12" s="752">
        <v>44560</v>
      </c>
      <c r="R12" s="169">
        <f t="shared" si="1"/>
        <v>0</v>
      </c>
      <c r="S12" s="170" t="str">
        <f t="shared" ca="1" si="2"/>
        <v>Alerta</v>
      </c>
      <c r="T12" s="755">
        <v>1</v>
      </c>
      <c r="U12" s="118">
        <f t="shared" si="5"/>
        <v>1</v>
      </c>
      <c r="V12" s="172" t="str">
        <f>IF(R12&gt;O12,0%,IF(R12&lt;=0,"100%",1-(R12/O12)))</f>
        <v>100%</v>
      </c>
      <c r="W12" s="173" t="str">
        <f t="shared" si="3"/>
        <v>Cumple</v>
      </c>
      <c r="X12" s="756" t="s">
        <v>1092</v>
      </c>
      <c r="Y12" s="757" t="s">
        <v>1093</v>
      </c>
      <c r="Z12" s="172">
        <f t="shared" si="4"/>
        <v>1</v>
      </c>
      <c r="AA12" s="174">
        <v>1</v>
      </c>
      <c r="AB12" s="174">
        <v>0.7</v>
      </c>
      <c r="AC12" s="175">
        <f t="shared" si="7"/>
        <v>0.9</v>
      </c>
      <c r="AD12" s="183" t="s">
        <v>1094</v>
      </c>
    </row>
    <row r="13" spans="1:30" ht="15" x14ac:dyDescent="0.2">
      <c r="G13" s="165" t="s">
        <v>314</v>
      </c>
      <c r="H13" s="168">
        <f>SUM(H7:H12)</f>
        <v>6</v>
      </c>
      <c r="Q13" s="960" t="s">
        <v>195</v>
      </c>
      <c r="R13" s="960"/>
      <c r="S13" s="962"/>
      <c r="T13" s="83">
        <f>SUM(T7:T12)</f>
        <v>4.95</v>
      </c>
      <c r="U13" s="54">
        <f>AVERAGE(U7:U12)</f>
        <v>0.82500000000000007</v>
      </c>
      <c r="V13" s="74"/>
      <c r="W13" s="77">
        <f>(COUNTIF(W7:W12,"Cumple")*100%)/COUNTA(W7:W12)</f>
        <v>0.33333333333333331</v>
      </c>
      <c r="Z13" s="960" t="s">
        <v>195</v>
      </c>
      <c r="AA13" s="960"/>
      <c r="AB13" s="961"/>
      <c r="AC13" s="78">
        <f>AVERAGE(AC7:AC12)</f>
        <v>0.74900470503076366</v>
      </c>
    </row>
  </sheetData>
  <autoFilter ref="A6:AX6" xr:uid="{00000000-0001-0000-1500-000000000000}"/>
  <dataConsolidate/>
  <mergeCells count="29">
    <mergeCell ref="O1:P2"/>
    <mergeCell ref="Q1:Y2"/>
    <mergeCell ref="Z1:AD4"/>
    <mergeCell ref="W3:X3"/>
    <mergeCell ref="A2:B2"/>
    <mergeCell ref="C2:F2"/>
    <mergeCell ref="G2:H2"/>
    <mergeCell ref="I2:N2"/>
    <mergeCell ref="Q3:V3"/>
    <mergeCell ref="A1:B1"/>
    <mergeCell ref="C1:N1"/>
    <mergeCell ref="A3:B3"/>
    <mergeCell ref="C3:F3"/>
    <mergeCell ref="G3:H3"/>
    <mergeCell ref="I3:N3"/>
    <mergeCell ref="O3:P3"/>
    <mergeCell ref="T4:U4"/>
    <mergeCell ref="V4:Y4"/>
    <mergeCell ref="A4:B4"/>
    <mergeCell ref="C4:F4"/>
    <mergeCell ref="G4:H4"/>
    <mergeCell ref="I4:N4"/>
    <mergeCell ref="O4:P4"/>
    <mergeCell ref="Q4:S4"/>
    <mergeCell ref="Z13:AB13"/>
    <mergeCell ref="Q13:S13"/>
    <mergeCell ref="A5:N5"/>
    <mergeCell ref="O5:Y5"/>
    <mergeCell ref="Z5:AD5"/>
  </mergeCells>
  <conditionalFormatting sqref="R7:R12">
    <cfRule type="cellIs" dxfId="277" priority="20" operator="greaterThan">
      <formula>0</formula>
    </cfRule>
    <cfRule type="cellIs" dxfId="276" priority="21" operator="lessThan">
      <formula>0</formula>
    </cfRule>
  </conditionalFormatting>
  <conditionalFormatting sqref="S7:S12">
    <cfRule type="containsText" dxfId="275" priority="18" operator="containsText" text="Alerta">
      <formula>NOT(ISERROR(SEARCH("Alerta",S7)))</formula>
    </cfRule>
    <cfRule type="containsText" dxfId="274" priority="19" operator="containsText" text="En tiempo">
      <formula>NOT(ISERROR(SEARCH("En tiempo",S7)))</formula>
    </cfRule>
  </conditionalFormatting>
  <conditionalFormatting sqref="U7:U13">
    <cfRule type="cellIs" dxfId="273" priority="1" stopIfTrue="1" operator="between">
      <formula>0.8</formula>
      <formula>1</formula>
    </cfRule>
    <cfRule type="cellIs" dxfId="272" priority="2" stopIfTrue="1" operator="between">
      <formula>0.5</formula>
      <formula>0.79</formula>
    </cfRule>
    <cfRule type="cellIs" dxfId="271" priority="3" stopIfTrue="1" operator="between">
      <formula>0.3</formula>
      <formula>0.49</formula>
    </cfRule>
    <cfRule type="cellIs" dxfId="270" priority="4" stopIfTrue="1" operator="between">
      <formula>0</formula>
      <formula>0.29</formula>
    </cfRule>
  </conditionalFormatting>
  <conditionalFormatting sqref="V7:V12">
    <cfRule type="cellIs" dxfId="269" priority="12" operator="between">
      <formula>0.19</formula>
      <formula>0</formula>
    </cfRule>
    <cfRule type="cellIs" dxfId="268" priority="13" operator="between">
      <formula>0.49</formula>
      <formula>0.2</formula>
    </cfRule>
    <cfRule type="cellIs" dxfId="267" priority="14" operator="between">
      <formula>0.89</formula>
      <formula>0.5</formula>
    </cfRule>
    <cfRule type="cellIs" dxfId="266" priority="15" operator="between">
      <formula>1</formula>
      <formula>0.9</formula>
    </cfRule>
  </conditionalFormatting>
  <conditionalFormatting sqref="W7:W12">
    <cfRule type="containsText" dxfId="265" priority="16" operator="containsText" text="Incumple">
      <formula>NOT(ISERROR(SEARCH("Incumple",W7)))</formula>
    </cfRule>
    <cfRule type="containsText" dxfId="264" priority="17" operator="containsText" text="Cumple">
      <formula>NOT(ISERROR(SEARCH("Cumple",W7)))</formula>
    </cfRule>
  </conditionalFormatting>
  <conditionalFormatting sqref="W13">
    <cfRule type="cellIs" dxfId="263" priority="32" operator="between">
      <formula>0.19</formula>
      <formula>0</formula>
    </cfRule>
    <cfRule type="cellIs" dxfId="262" priority="33" operator="between">
      <formula>0.49</formula>
      <formula>0.2</formula>
    </cfRule>
    <cfRule type="cellIs" dxfId="261" priority="34" operator="between">
      <formula>0.89</formula>
      <formula>0.5</formula>
    </cfRule>
    <cfRule type="cellIs" dxfId="260" priority="35" operator="between">
      <formula>1</formula>
      <formula>0.9</formula>
    </cfRule>
  </conditionalFormatting>
  <conditionalFormatting sqref="Z7:Z12">
    <cfRule type="cellIs" dxfId="259" priority="8" operator="between">
      <formula>0.19</formula>
      <formula>0</formula>
    </cfRule>
    <cfRule type="cellIs" dxfId="258" priority="9" operator="between">
      <formula>0.49</formula>
      <formula>0.2</formula>
    </cfRule>
    <cfRule type="cellIs" dxfId="257" priority="10" operator="between">
      <formula>0.89</formula>
      <formula>0.5</formula>
    </cfRule>
    <cfRule type="cellIs" dxfId="256" priority="11" operator="between">
      <formula>1</formula>
      <formula>0.9</formula>
    </cfRule>
  </conditionalFormatting>
  <conditionalFormatting sqref="AC7:AC13">
    <cfRule type="cellIs" dxfId="255" priority="5" operator="between">
      <formula>0.3</formula>
      <formula>0</formula>
    </cfRule>
    <cfRule type="cellIs" dxfId="254" priority="6" operator="between">
      <formula>0.6999</formula>
      <formula>0.3111</formula>
    </cfRule>
    <cfRule type="cellIs" dxfId="253" priority="7" operator="between">
      <formula>1</formula>
      <formula>0.7</formula>
    </cfRule>
  </conditionalFormatting>
  <dataValidations count="5">
    <dataValidation type="list" allowBlank="1" showInputMessage="1" showErrorMessage="1" sqref="K7:K12" xr:uid="{00000000-0002-0000-1500-000000000000}">
      <formula1>$AS$4:$AS$10</formula1>
    </dataValidation>
    <dataValidation type="list" allowBlank="1" showInputMessage="1" showErrorMessage="1" sqref="J7:J12" xr:uid="{00000000-0002-0000-1500-000001000000}">
      <formula1>$AR$4:$AR$10</formula1>
    </dataValidation>
    <dataValidation type="list" allowBlank="1" showInputMessage="1" showErrorMessage="1" sqref="A7:A12" xr:uid="{00000000-0002-0000-1500-000002000000}">
      <formula1>$AP$4:$AP$10</formula1>
    </dataValidation>
    <dataValidation type="list" allowBlank="1" showInputMessage="1" showErrorMessage="1" sqref="B7:B12" xr:uid="{00000000-0002-0000-1500-000003000000}">
      <formula1>$AV$5:$AV$8</formula1>
    </dataValidation>
    <dataValidation type="list" allowBlank="1" showInputMessage="1" showErrorMessage="1" errorTitle="Estado" error="No es un estado de los Planes de Mejoramiento" sqref="Q4:S4" xr:uid="{00000000-0002-0000-1500-000005000000}">
      <formula1>$AW$4:$AW$7</formula1>
    </dataValidation>
  </dataValidations>
  <pageMargins left="1.4960629921259843" right="0.70866141732283472" top="0.74803149606299213" bottom="0.74803149606299213" header="0.31496062992125984" footer="0.31496062992125984"/>
  <pageSetup scale="34" fitToWidth="0" orientation="landscape" r:id="rId1"/>
  <colBreaks count="2" manualBreakCount="2">
    <brk id="14" max="1048575" man="1"/>
    <brk id="25"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0F7AD-5EA4-4CC1-A127-8512A1FA8B7F}">
  <sheetPr>
    <tabColor theme="0"/>
  </sheetPr>
  <dimension ref="A1:AW32"/>
  <sheetViews>
    <sheetView topLeftCell="I1" zoomScale="77" zoomScaleNormal="77" workbookViewId="0">
      <selection activeCell="X8" sqref="X8"/>
    </sheetView>
  </sheetViews>
  <sheetFormatPr baseColWidth="10" defaultColWidth="17.5703125" defaultRowHeight="12.75" x14ac:dyDescent="0.2"/>
  <cols>
    <col min="1" max="1" width="15.28515625" customWidth="1"/>
    <col min="2" max="2" width="15.5703125" customWidth="1"/>
    <col min="3" max="3" width="38.140625" customWidth="1"/>
    <col min="4" max="4" width="33.28515625" customWidth="1"/>
    <col min="5" max="5" width="36.7109375" customWidth="1"/>
    <col min="6" max="6" width="32.140625" customWidth="1"/>
    <col min="7" max="7" width="32.85546875" customWidth="1"/>
    <col min="8" max="8" width="16.42578125" customWidth="1"/>
    <col min="9" max="9" width="26.5703125" customWidth="1"/>
    <col min="10" max="10" width="16.140625" customWidth="1"/>
    <col min="11" max="11" width="21.42578125" customWidth="1"/>
    <col min="12" max="12" width="25.7109375" customWidth="1"/>
    <col min="13" max="14" width="16.5703125" customWidth="1"/>
    <col min="15" max="15" width="12" customWidth="1"/>
    <col min="16" max="16" width="15.5703125" customWidth="1"/>
    <col min="17" max="17" width="16.85546875" customWidth="1"/>
    <col min="18" max="18" width="11.5703125" customWidth="1"/>
    <col min="19" max="19" width="11.140625" customWidth="1"/>
    <col min="20" max="20" width="15" customWidth="1"/>
    <col min="21" max="21" width="16.5703125" customWidth="1"/>
    <col min="22" max="22" width="14.42578125" customWidth="1"/>
    <col min="23" max="23" width="16.7109375" customWidth="1"/>
    <col min="24" max="24" width="95.85546875" customWidth="1"/>
    <col min="25" max="25" width="63.5703125" style="295" customWidth="1"/>
    <col min="26" max="26" width="12.28515625" customWidth="1"/>
    <col min="27" max="27" width="13.42578125" customWidth="1"/>
    <col min="28" max="28" width="14.140625" customWidth="1"/>
    <col min="29" max="29" width="12.5703125" customWidth="1"/>
    <col min="30" max="30" width="77.85546875" customWidth="1"/>
    <col min="31" max="41" width="9.140625"/>
    <col min="42" max="42" width="28.5703125" hidden="1" customWidth="1"/>
    <col min="43" max="43" width="42" hidden="1" customWidth="1"/>
    <col min="44" max="44" width="17.5703125" hidden="1" customWidth="1"/>
    <col min="45" max="45" width="51.42578125" hidden="1" customWidth="1"/>
    <col min="46" max="46" width="8.5703125" hidden="1" customWidth="1"/>
    <col min="47" max="47" width="7.140625" hidden="1" customWidth="1"/>
    <col min="48" max="48" width="20.85546875" hidden="1" customWidth="1"/>
    <col min="49" max="49" width="17.5703125" hidden="1" customWidth="1"/>
    <col min="50" max="50" width="22.42578125" customWidth="1"/>
  </cols>
  <sheetData>
    <row r="1" spans="1:30" ht="100.5" customHeight="1" thickBot="1" x14ac:dyDescent="0.25">
      <c r="A1" s="971" t="s">
        <v>0</v>
      </c>
      <c r="B1" s="971"/>
      <c r="C1" s="971" t="s">
        <v>1</v>
      </c>
      <c r="D1" s="971"/>
      <c r="E1" s="971"/>
      <c r="F1" s="971"/>
      <c r="G1" s="971"/>
      <c r="H1" s="971"/>
      <c r="I1" s="971"/>
      <c r="J1" s="971"/>
      <c r="K1" s="971"/>
      <c r="L1" s="971"/>
      <c r="M1" s="971"/>
      <c r="N1" s="971"/>
      <c r="O1" s="971"/>
      <c r="P1" s="971"/>
      <c r="Q1" s="971" t="s">
        <v>2</v>
      </c>
      <c r="R1" s="971"/>
      <c r="S1" s="971"/>
      <c r="T1" s="971"/>
      <c r="U1" s="971"/>
      <c r="V1" s="971"/>
      <c r="W1" s="971"/>
      <c r="X1" s="971"/>
      <c r="Y1" s="971"/>
      <c r="Z1" s="971" t="s">
        <v>2</v>
      </c>
      <c r="AA1" s="971"/>
      <c r="AB1" s="971"/>
      <c r="AC1" s="971"/>
      <c r="AD1" s="971"/>
    </row>
    <row r="2" spans="1:30" ht="15.75" thickBot="1" x14ac:dyDescent="0.25">
      <c r="A2" s="971" t="s">
        <v>197</v>
      </c>
      <c r="B2" s="971"/>
      <c r="C2" s="971" t="s">
        <v>4</v>
      </c>
      <c r="D2" s="977"/>
      <c r="E2" s="977"/>
      <c r="F2" s="977"/>
      <c r="G2" s="971" t="s">
        <v>5</v>
      </c>
      <c r="H2" s="971"/>
      <c r="I2" s="971" t="s">
        <v>6</v>
      </c>
      <c r="J2" s="971"/>
      <c r="K2" s="971"/>
      <c r="L2" s="971"/>
      <c r="M2" s="971"/>
      <c r="N2" s="971"/>
      <c r="O2" s="971"/>
      <c r="P2" s="971"/>
      <c r="Q2" s="971"/>
      <c r="R2" s="971"/>
      <c r="S2" s="971"/>
      <c r="T2" s="971"/>
      <c r="U2" s="971"/>
      <c r="V2" s="971"/>
      <c r="W2" s="971"/>
      <c r="X2" s="971"/>
      <c r="Y2" s="971"/>
      <c r="Z2" s="978"/>
      <c r="AA2" s="978"/>
      <c r="AB2" s="978"/>
      <c r="AC2" s="978"/>
      <c r="AD2" s="978"/>
    </row>
    <row r="3" spans="1:30" ht="15" x14ac:dyDescent="0.2">
      <c r="A3" s="972" t="s">
        <v>7</v>
      </c>
      <c r="B3" s="972"/>
      <c r="C3" s="971" t="s">
        <v>1095</v>
      </c>
      <c r="D3" s="971"/>
      <c r="E3" s="971"/>
      <c r="F3" s="971"/>
      <c r="G3" s="972" t="s">
        <v>9</v>
      </c>
      <c r="H3" s="972"/>
      <c r="I3" s="973">
        <v>43313</v>
      </c>
      <c r="J3" s="971"/>
      <c r="K3" s="971"/>
      <c r="L3" s="971"/>
      <c r="M3" s="971"/>
      <c r="N3" s="971"/>
      <c r="O3" s="972" t="s">
        <v>10</v>
      </c>
      <c r="P3" s="972"/>
      <c r="Q3" s="973">
        <v>45657</v>
      </c>
      <c r="R3" s="973"/>
      <c r="S3" s="973"/>
      <c r="T3" s="973"/>
      <c r="U3" s="973"/>
      <c r="V3" s="973"/>
      <c r="W3" s="972" t="s">
        <v>11</v>
      </c>
      <c r="X3" s="972"/>
      <c r="Y3" s="678" t="s">
        <v>1096</v>
      </c>
      <c r="Z3" s="978"/>
      <c r="AA3" s="978"/>
      <c r="AB3" s="978"/>
      <c r="AC3" s="978"/>
      <c r="AD3" s="978"/>
    </row>
    <row r="4" spans="1:30" ht="22.5" customHeight="1" x14ac:dyDescent="0.2">
      <c r="A4" s="972" t="s">
        <v>13</v>
      </c>
      <c r="B4" s="972"/>
      <c r="C4" s="971" t="s">
        <v>1097</v>
      </c>
      <c r="D4" s="971"/>
      <c r="E4" s="971"/>
      <c r="F4" s="971"/>
      <c r="G4" s="972" t="s">
        <v>15</v>
      </c>
      <c r="H4" s="972"/>
      <c r="I4" s="973">
        <v>43739</v>
      </c>
      <c r="J4" s="973"/>
      <c r="K4" s="973"/>
      <c r="L4" s="973"/>
      <c r="M4" s="973"/>
      <c r="N4" s="973"/>
      <c r="O4" s="972" t="s">
        <v>16</v>
      </c>
      <c r="P4" s="972"/>
      <c r="Q4" s="971" t="s">
        <v>491</v>
      </c>
      <c r="R4" s="971"/>
      <c r="S4" s="971"/>
      <c r="T4" s="972" t="s">
        <v>18</v>
      </c>
      <c r="U4" s="972"/>
      <c r="V4" s="971" t="s">
        <v>1098</v>
      </c>
      <c r="W4" s="971"/>
      <c r="X4" s="971"/>
      <c r="Y4" s="971"/>
      <c r="Z4" s="978"/>
      <c r="AA4" s="978"/>
      <c r="AB4" s="978"/>
      <c r="AC4" s="978"/>
      <c r="AD4" s="978"/>
    </row>
    <row r="5" spans="1:30" ht="40.5" customHeight="1" thickBot="1" x14ac:dyDescent="0.25">
      <c r="A5" s="974" t="s">
        <v>19</v>
      </c>
      <c r="B5" s="974"/>
      <c r="C5" s="974"/>
      <c r="D5" s="974"/>
      <c r="E5" s="974"/>
      <c r="F5" s="974"/>
      <c r="G5" s="974"/>
      <c r="H5" s="974"/>
      <c r="I5" s="974"/>
      <c r="J5" s="974"/>
      <c r="K5" s="974"/>
      <c r="L5" s="974"/>
      <c r="M5" s="974"/>
      <c r="N5" s="974"/>
      <c r="O5" s="975" t="s">
        <v>20</v>
      </c>
      <c r="P5" s="975"/>
      <c r="Q5" s="975"/>
      <c r="R5" s="975"/>
      <c r="S5" s="975"/>
      <c r="T5" s="975"/>
      <c r="U5" s="975"/>
      <c r="V5" s="975"/>
      <c r="W5" s="975"/>
      <c r="X5" s="975"/>
      <c r="Y5" s="975"/>
      <c r="Z5" s="976" t="s">
        <v>21</v>
      </c>
      <c r="AA5" s="976"/>
      <c r="AB5" s="976"/>
      <c r="AC5" s="976"/>
      <c r="AD5" s="976"/>
    </row>
    <row r="6" spans="1:30" ht="75" x14ac:dyDescent="0.2">
      <c r="A6" s="156" t="s">
        <v>22</v>
      </c>
      <c r="B6" s="156" t="s">
        <v>23</v>
      </c>
      <c r="C6" s="156" t="s">
        <v>24</v>
      </c>
      <c r="D6" s="156" t="s">
        <v>25</v>
      </c>
      <c r="E6" s="156" t="s">
        <v>26</v>
      </c>
      <c r="F6" s="156" t="s">
        <v>27</v>
      </c>
      <c r="G6" s="156" t="s">
        <v>28</v>
      </c>
      <c r="H6" s="156" t="s">
        <v>29</v>
      </c>
      <c r="I6" s="156" t="s">
        <v>30</v>
      </c>
      <c r="J6" s="156" t="s">
        <v>31</v>
      </c>
      <c r="K6" s="156" t="s">
        <v>32</v>
      </c>
      <c r="L6" s="156" t="s">
        <v>33</v>
      </c>
      <c r="M6" s="156" t="s">
        <v>34</v>
      </c>
      <c r="N6" s="156" t="s">
        <v>35</v>
      </c>
      <c r="O6" s="157" t="s">
        <v>36</v>
      </c>
      <c r="P6" s="157" t="s">
        <v>37</v>
      </c>
      <c r="Q6" s="157" t="s">
        <v>38</v>
      </c>
      <c r="R6" s="157" t="s">
        <v>39</v>
      </c>
      <c r="S6" s="157" t="s">
        <v>40</v>
      </c>
      <c r="T6" s="157" t="s">
        <v>41</v>
      </c>
      <c r="U6" s="157" t="s">
        <v>42</v>
      </c>
      <c r="V6" s="157" t="s">
        <v>43</v>
      </c>
      <c r="W6" s="157" t="s">
        <v>44</v>
      </c>
      <c r="X6" s="157" t="s">
        <v>45</v>
      </c>
      <c r="Y6" s="679" t="s">
        <v>46</v>
      </c>
      <c r="Z6" s="158" t="s">
        <v>47</v>
      </c>
      <c r="AA6" s="158" t="s">
        <v>48</v>
      </c>
      <c r="AB6" s="158" t="s">
        <v>49</v>
      </c>
      <c r="AC6" s="158" t="s">
        <v>50</v>
      </c>
      <c r="AD6" s="158" t="s">
        <v>51</v>
      </c>
    </row>
    <row r="7" spans="1:30" s="226" customFormat="1" ht="150" customHeight="1" x14ac:dyDescent="0.2">
      <c r="A7" s="425" t="s">
        <v>202</v>
      </c>
      <c r="B7" s="425" t="s">
        <v>53</v>
      </c>
      <c r="C7" s="380" t="s">
        <v>1099</v>
      </c>
      <c r="D7" s="380" t="s">
        <v>1100</v>
      </c>
      <c r="E7" s="380" t="s">
        <v>1101</v>
      </c>
      <c r="F7" s="380" t="s">
        <v>1102</v>
      </c>
      <c r="G7" s="380" t="s">
        <v>1103</v>
      </c>
      <c r="H7" s="380">
        <v>3</v>
      </c>
      <c r="I7" s="509" t="s">
        <v>1095</v>
      </c>
      <c r="J7" s="484"/>
      <c r="K7" s="484"/>
      <c r="L7" s="380" t="s">
        <v>1104</v>
      </c>
      <c r="M7" s="510">
        <v>43313</v>
      </c>
      <c r="N7" s="758">
        <v>43439</v>
      </c>
      <c r="O7" s="497">
        <f>(N7-M7)/7</f>
        <v>18</v>
      </c>
      <c r="P7" s="140">
        <v>43987</v>
      </c>
      <c r="Q7" s="140">
        <v>43987</v>
      </c>
      <c r="R7" s="383">
        <f t="shared" ref="R7:R17" si="0">(Q7-M7)/7-O7</f>
        <v>78.285714285714292</v>
      </c>
      <c r="S7" s="384" t="str">
        <f ca="1">IF((N7-TODAY())/7&gt;=0,"En tiempo","Alerta")</f>
        <v>Alerta</v>
      </c>
      <c r="T7" s="759">
        <v>3</v>
      </c>
      <c r="U7" s="363">
        <f>IF(T7/H7=1,1,+T7/H7)</f>
        <v>1</v>
      </c>
      <c r="V7" s="386">
        <f>IF(R7&gt;O7,0%,IF(R7&lt;=0,"100%",1-(R7/O7)))</f>
        <v>0</v>
      </c>
      <c r="W7" s="387" t="str">
        <f>IF(Q7&lt;=N7,"Cumple","Incumple")</f>
        <v>Incumple</v>
      </c>
      <c r="X7" s="726" t="s">
        <v>1105</v>
      </c>
      <c r="Y7" s="760" t="s">
        <v>1106</v>
      </c>
      <c r="Z7" s="386">
        <f>(U7+V7)/2</f>
        <v>0.5</v>
      </c>
      <c r="AA7" s="388">
        <v>0.5</v>
      </c>
      <c r="AB7" s="388">
        <v>1</v>
      </c>
      <c r="AC7" s="389">
        <f t="shared" ref="AC7:AC29" si="1">AVERAGE(Z7:AB7)</f>
        <v>0.66666666666666663</v>
      </c>
      <c r="AD7" s="763" t="s">
        <v>1107</v>
      </c>
    </row>
    <row r="8" spans="1:30" s="226" customFormat="1" ht="192.75" customHeight="1" x14ac:dyDescent="0.2">
      <c r="A8" s="425" t="s">
        <v>202</v>
      </c>
      <c r="B8" s="425" t="s">
        <v>53</v>
      </c>
      <c r="C8" s="380" t="s">
        <v>1099</v>
      </c>
      <c r="D8" s="380" t="s">
        <v>1100</v>
      </c>
      <c r="E8" s="380" t="s">
        <v>1101</v>
      </c>
      <c r="F8" s="380" t="s">
        <v>1108</v>
      </c>
      <c r="G8" s="380" t="s">
        <v>1109</v>
      </c>
      <c r="H8" s="380">
        <v>1</v>
      </c>
      <c r="I8" s="509" t="s">
        <v>1095</v>
      </c>
      <c r="J8" s="484"/>
      <c r="K8" s="484"/>
      <c r="L8" s="380" t="s">
        <v>1110</v>
      </c>
      <c r="M8" s="510">
        <v>43313</v>
      </c>
      <c r="N8" s="758">
        <v>45107</v>
      </c>
      <c r="O8" s="497">
        <f t="shared" ref="O8:O31" si="2">(N8-M8)/7</f>
        <v>256.28571428571428</v>
      </c>
      <c r="P8" s="140">
        <v>45657</v>
      </c>
      <c r="Q8" s="140">
        <f>P8</f>
        <v>45657</v>
      </c>
      <c r="R8" s="383">
        <f t="shared" si="0"/>
        <v>78.571428571428555</v>
      </c>
      <c r="S8" s="384" t="str">
        <f t="shared" ref="S8:S14" ca="1" si="3">IF((N8-TODAY())/7&gt;=0,"En tiempo","Alerta")</f>
        <v>Alerta</v>
      </c>
      <c r="T8" s="759">
        <v>0.4</v>
      </c>
      <c r="U8" s="363">
        <f>IF(T8/H8=1,1,+T8/H8)</f>
        <v>0.4</v>
      </c>
      <c r="V8" s="386">
        <f t="shared" ref="V8:V31" si="4">IF(R8&gt;O8,0%,IF(R8&lt;=0,"100%",1-(R8/O8)))</f>
        <v>0.69342251950947609</v>
      </c>
      <c r="W8" s="387" t="str">
        <f>IF(P8&lt;=N8,"Cumple","Incumple")</f>
        <v>Incumple</v>
      </c>
      <c r="X8" s="720" t="s">
        <v>3163</v>
      </c>
      <c r="Y8" s="761" t="s">
        <v>1111</v>
      </c>
      <c r="Z8" s="386">
        <f t="shared" ref="Z8:Z31" si="5">(U8+V8)/2</f>
        <v>0.54671125975473811</v>
      </c>
      <c r="AA8" s="388"/>
      <c r="AB8" s="388"/>
      <c r="AC8" s="421"/>
      <c r="AD8" s="763"/>
    </row>
    <row r="9" spans="1:30" s="226" customFormat="1" ht="150" customHeight="1" x14ac:dyDescent="0.2">
      <c r="A9" s="425" t="s">
        <v>202</v>
      </c>
      <c r="B9" s="425" t="s">
        <v>53</v>
      </c>
      <c r="C9" s="380" t="s">
        <v>1099</v>
      </c>
      <c r="D9" s="380" t="s">
        <v>1100</v>
      </c>
      <c r="E9" s="380" t="s">
        <v>1101</v>
      </c>
      <c r="F9" s="380" t="s">
        <v>1112</v>
      </c>
      <c r="G9" s="380" t="s">
        <v>1113</v>
      </c>
      <c r="H9" s="380">
        <v>1</v>
      </c>
      <c r="I9" s="509" t="s">
        <v>1095</v>
      </c>
      <c r="J9" s="484"/>
      <c r="K9" s="484"/>
      <c r="L9" s="380" t="s">
        <v>1114</v>
      </c>
      <c r="M9" s="510">
        <v>43313</v>
      </c>
      <c r="N9" s="758">
        <v>45107</v>
      </c>
      <c r="O9" s="497">
        <f t="shared" si="2"/>
        <v>256.28571428571428</v>
      </c>
      <c r="P9" s="140">
        <v>45657</v>
      </c>
      <c r="Q9" s="140">
        <f t="shared" ref="Q9" si="6">P9</f>
        <v>45657</v>
      </c>
      <c r="R9" s="383">
        <f t="shared" si="0"/>
        <v>78.571428571428555</v>
      </c>
      <c r="S9" s="384" t="str">
        <f t="shared" ca="1" si="3"/>
        <v>Alerta</v>
      </c>
      <c r="T9" s="759">
        <v>0</v>
      </c>
      <c r="U9" s="363">
        <f t="shared" ref="U9:U31" si="7">IF(T9/H9=1,1,+T9/H9)</f>
        <v>0</v>
      </c>
      <c r="V9" s="386">
        <f t="shared" si="4"/>
        <v>0.69342251950947609</v>
      </c>
      <c r="W9" s="387" t="str">
        <f>IF(P9&lt;=N9,"Cumple","Incumple")</f>
        <v>Incumple</v>
      </c>
      <c r="X9" s="720" t="s">
        <v>3164</v>
      </c>
      <c r="Y9" s="761" t="s">
        <v>1115</v>
      </c>
      <c r="Z9" s="386">
        <f t="shared" si="5"/>
        <v>0.34671125975473804</v>
      </c>
      <c r="AA9" s="388"/>
      <c r="AB9" s="388"/>
      <c r="AC9" s="421"/>
      <c r="AD9" s="763"/>
    </row>
    <row r="10" spans="1:30" s="226" customFormat="1" ht="165.75" customHeight="1" x14ac:dyDescent="0.2">
      <c r="A10" s="425" t="s">
        <v>202</v>
      </c>
      <c r="B10" s="425" t="s">
        <v>53</v>
      </c>
      <c r="C10" s="380" t="s">
        <v>1116</v>
      </c>
      <c r="D10" s="380" t="s">
        <v>1117</v>
      </c>
      <c r="E10" s="380" t="s">
        <v>1118</v>
      </c>
      <c r="F10" s="380" t="s">
        <v>1119</v>
      </c>
      <c r="G10" s="380" t="s">
        <v>1120</v>
      </c>
      <c r="H10" s="380">
        <v>3</v>
      </c>
      <c r="I10" s="509" t="s">
        <v>1121</v>
      </c>
      <c r="J10" s="484"/>
      <c r="K10" s="484"/>
      <c r="L10" s="380" t="s">
        <v>1122</v>
      </c>
      <c r="M10" s="510">
        <v>43313</v>
      </c>
      <c r="N10" s="758">
        <v>43449</v>
      </c>
      <c r="O10" s="497">
        <f t="shared" si="2"/>
        <v>19.428571428571427</v>
      </c>
      <c r="P10" s="140">
        <v>44742</v>
      </c>
      <c r="Q10" s="140">
        <v>44742</v>
      </c>
      <c r="R10" s="383">
        <f t="shared" si="0"/>
        <v>184.71428571428572</v>
      </c>
      <c r="S10" s="384" t="str">
        <f t="shared" ca="1" si="3"/>
        <v>Alerta</v>
      </c>
      <c r="T10" s="759">
        <v>3</v>
      </c>
      <c r="U10" s="363">
        <f t="shared" si="7"/>
        <v>1</v>
      </c>
      <c r="V10" s="386">
        <f t="shared" si="4"/>
        <v>0</v>
      </c>
      <c r="W10" s="387" t="str">
        <f>IF(Q10&lt;=N10,"Cumple","Incumple")</f>
        <v>Incumple</v>
      </c>
      <c r="X10" s="726" t="s">
        <v>1123</v>
      </c>
      <c r="Y10" s="761" t="s">
        <v>1124</v>
      </c>
      <c r="Z10" s="386">
        <f t="shared" si="5"/>
        <v>0.5</v>
      </c>
      <c r="AA10" s="388">
        <v>0.5</v>
      </c>
      <c r="AB10" s="388">
        <v>0.5</v>
      </c>
      <c r="AC10" s="389">
        <f t="shared" si="1"/>
        <v>0.5</v>
      </c>
      <c r="AD10" s="763" t="s">
        <v>1125</v>
      </c>
    </row>
    <row r="11" spans="1:30" s="226" customFormat="1" ht="279.75" customHeight="1" x14ac:dyDescent="0.2">
      <c r="A11" s="425" t="s">
        <v>202</v>
      </c>
      <c r="B11" s="425" t="s">
        <v>53</v>
      </c>
      <c r="C11" s="380" t="s">
        <v>1116</v>
      </c>
      <c r="D11" s="380" t="s">
        <v>1117</v>
      </c>
      <c r="E11" s="380" t="s">
        <v>1118</v>
      </c>
      <c r="F11" s="380" t="s">
        <v>1126</v>
      </c>
      <c r="G11" s="380" t="s">
        <v>1127</v>
      </c>
      <c r="H11" s="380">
        <v>1</v>
      </c>
      <c r="I11" s="509" t="s">
        <v>1128</v>
      </c>
      <c r="J11" s="484"/>
      <c r="K11" s="484"/>
      <c r="L11" s="380" t="s">
        <v>1129</v>
      </c>
      <c r="M11" s="510">
        <v>43318</v>
      </c>
      <c r="N11" s="758">
        <v>45107</v>
      </c>
      <c r="O11" s="497">
        <f t="shared" si="2"/>
        <v>255.57142857142858</v>
      </c>
      <c r="P11" s="140">
        <v>45488</v>
      </c>
      <c r="Q11" s="140">
        <f>P11</f>
        <v>45488</v>
      </c>
      <c r="R11" s="383">
        <f t="shared" si="0"/>
        <v>54.428571428571416</v>
      </c>
      <c r="S11" s="384" t="str">
        <f t="shared" ca="1" si="3"/>
        <v>Alerta</v>
      </c>
      <c r="T11" s="759">
        <v>0.75</v>
      </c>
      <c r="U11" s="363">
        <f t="shared" si="7"/>
        <v>0.75</v>
      </c>
      <c r="V11" s="386">
        <f t="shared" si="4"/>
        <v>0.78703186137506997</v>
      </c>
      <c r="W11" s="387" t="str">
        <f>IF(P11&lt;=N11,"Cumple","Incumple")</f>
        <v>Incumple</v>
      </c>
      <c r="X11" s="720" t="s">
        <v>1130</v>
      </c>
      <c r="Y11" s="761" t="s">
        <v>1131</v>
      </c>
      <c r="Z11" s="386">
        <f t="shared" si="5"/>
        <v>0.76851593068753499</v>
      </c>
      <c r="AA11" s="388"/>
      <c r="AB11" s="388"/>
      <c r="AC11" s="421"/>
      <c r="AD11" s="763"/>
    </row>
    <row r="12" spans="1:30" s="226" customFormat="1" ht="243" customHeight="1" x14ac:dyDescent="0.2">
      <c r="A12" s="425" t="s">
        <v>202</v>
      </c>
      <c r="B12" s="425" t="s">
        <v>53</v>
      </c>
      <c r="C12" s="380" t="s">
        <v>1116</v>
      </c>
      <c r="D12" s="380" t="s">
        <v>1117</v>
      </c>
      <c r="E12" s="380" t="s">
        <v>1118</v>
      </c>
      <c r="F12" s="380" t="s">
        <v>1132</v>
      </c>
      <c r="G12" s="380" t="s">
        <v>1133</v>
      </c>
      <c r="H12" s="511">
        <v>1</v>
      </c>
      <c r="I12" s="509" t="s">
        <v>1134</v>
      </c>
      <c r="J12" s="484"/>
      <c r="K12" s="484"/>
      <c r="L12" s="380" t="s">
        <v>1135</v>
      </c>
      <c r="M12" s="510">
        <v>43374</v>
      </c>
      <c r="N12" s="758">
        <v>43449</v>
      </c>
      <c r="O12" s="497">
        <f t="shared" si="2"/>
        <v>10.714285714285714</v>
      </c>
      <c r="P12" s="140">
        <v>45107</v>
      </c>
      <c r="Q12" s="140">
        <v>45107</v>
      </c>
      <c r="R12" s="383">
        <f t="shared" si="0"/>
        <v>236.85714285714286</v>
      </c>
      <c r="S12" s="384" t="str">
        <f t="shared" ca="1" si="3"/>
        <v>Alerta</v>
      </c>
      <c r="T12" s="759">
        <v>1</v>
      </c>
      <c r="U12" s="363">
        <f t="shared" si="7"/>
        <v>1</v>
      </c>
      <c r="V12" s="386">
        <f t="shared" si="4"/>
        <v>0</v>
      </c>
      <c r="W12" s="387" t="str">
        <f t="shared" ref="W12:W29" si="8">IF(Q12&lt;=N12,"Cumple","Incumple")</f>
        <v>Incumple</v>
      </c>
      <c r="X12" s="720" t="s">
        <v>1136</v>
      </c>
      <c r="Y12" s="761" t="s">
        <v>1137</v>
      </c>
      <c r="Z12" s="386">
        <f t="shared" si="5"/>
        <v>0.5</v>
      </c>
      <c r="AA12" s="388">
        <v>1</v>
      </c>
      <c r="AB12" s="388">
        <v>1</v>
      </c>
      <c r="AC12" s="389">
        <f t="shared" si="1"/>
        <v>0.83333333333333337</v>
      </c>
      <c r="AD12" s="763" t="s">
        <v>1138</v>
      </c>
    </row>
    <row r="13" spans="1:30" s="226" customFormat="1" ht="344.25" customHeight="1" x14ac:dyDescent="0.2">
      <c r="A13" s="425" t="s">
        <v>202</v>
      </c>
      <c r="B13" s="425" t="s">
        <v>53</v>
      </c>
      <c r="C13" s="509" t="s">
        <v>1139</v>
      </c>
      <c r="D13" s="380" t="s">
        <v>1140</v>
      </c>
      <c r="E13" s="380" t="s">
        <v>1141</v>
      </c>
      <c r="F13" s="380" t="s">
        <v>1142</v>
      </c>
      <c r="G13" s="509" t="s">
        <v>1143</v>
      </c>
      <c r="H13" s="512">
        <v>1</v>
      </c>
      <c r="I13" s="509" t="s">
        <v>1144</v>
      </c>
      <c r="J13" s="484"/>
      <c r="K13" s="484"/>
      <c r="L13" s="380" t="s">
        <v>1145</v>
      </c>
      <c r="M13" s="510">
        <v>42955</v>
      </c>
      <c r="N13" s="758">
        <v>43084</v>
      </c>
      <c r="O13" s="497">
        <f t="shared" si="2"/>
        <v>18.428571428571427</v>
      </c>
      <c r="P13" s="140">
        <v>43639</v>
      </c>
      <c r="Q13" s="140">
        <v>43639</v>
      </c>
      <c r="R13" s="383">
        <f t="shared" si="0"/>
        <v>79.285714285714278</v>
      </c>
      <c r="S13" s="384" t="str">
        <f t="shared" ca="1" si="3"/>
        <v>Alerta</v>
      </c>
      <c r="T13" s="109">
        <v>1</v>
      </c>
      <c r="U13" s="363">
        <f t="shared" si="7"/>
        <v>1</v>
      </c>
      <c r="V13" s="386">
        <f t="shared" si="4"/>
        <v>0</v>
      </c>
      <c r="W13" s="387" t="str">
        <f t="shared" si="8"/>
        <v>Incumple</v>
      </c>
      <c r="X13" s="728" t="s">
        <v>1146</v>
      </c>
      <c r="Y13" s="761" t="s">
        <v>162</v>
      </c>
      <c r="Z13" s="386">
        <f t="shared" si="5"/>
        <v>0.5</v>
      </c>
      <c r="AA13" s="388">
        <v>1</v>
      </c>
      <c r="AB13" s="388">
        <v>0.5</v>
      </c>
      <c r="AC13" s="389">
        <f t="shared" si="1"/>
        <v>0.66666666666666663</v>
      </c>
      <c r="AD13" s="763" t="s">
        <v>1147</v>
      </c>
    </row>
    <row r="14" spans="1:30" s="226" customFormat="1" ht="351.75" customHeight="1" x14ac:dyDescent="0.2">
      <c r="A14" s="425" t="s">
        <v>202</v>
      </c>
      <c r="B14" s="425" t="s">
        <v>53</v>
      </c>
      <c r="C14" s="509" t="s">
        <v>1139</v>
      </c>
      <c r="D14" s="380" t="s">
        <v>1140</v>
      </c>
      <c r="E14" s="380" t="s">
        <v>1141</v>
      </c>
      <c r="F14" s="380" t="s">
        <v>1148</v>
      </c>
      <c r="G14" s="509" t="s">
        <v>1149</v>
      </c>
      <c r="H14" s="512">
        <v>1</v>
      </c>
      <c r="I14" s="509" t="s">
        <v>1150</v>
      </c>
      <c r="J14" s="484"/>
      <c r="K14" s="484"/>
      <c r="L14" s="380" t="s">
        <v>1151</v>
      </c>
      <c r="M14" s="510">
        <v>43374</v>
      </c>
      <c r="N14" s="758">
        <v>43739</v>
      </c>
      <c r="O14" s="497">
        <f t="shared" si="2"/>
        <v>52.142857142857146</v>
      </c>
      <c r="P14" s="140">
        <v>43640</v>
      </c>
      <c r="Q14" s="140">
        <v>43640</v>
      </c>
      <c r="R14" s="383">
        <f t="shared" si="0"/>
        <v>-14.142857142857146</v>
      </c>
      <c r="S14" s="384" t="str">
        <f t="shared" ca="1" si="3"/>
        <v>Alerta</v>
      </c>
      <c r="T14" s="109">
        <v>1</v>
      </c>
      <c r="U14" s="363">
        <f t="shared" si="7"/>
        <v>1</v>
      </c>
      <c r="V14" s="386" t="str">
        <f t="shared" si="4"/>
        <v>100%</v>
      </c>
      <c r="W14" s="387" t="str">
        <f t="shared" si="8"/>
        <v>Cumple</v>
      </c>
      <c r="X14" s="728" t="s">
        <v>1152</v>
      </c>
      <c r="Y14" s="761" t="s">
        <v>162</v>
      </c>
      <c r="Z14" s="386">
        <f t="shared" si="5"/>
        <v>1</v>
      </c>
      <c r="AA14" s="388">
        <v>0.5</v>
      </c>
      <c r="AB14" s="388"/>
      <c r="AC14" s="389">
        <f t="shared" si="1"/>
        <v>0.75</v>
      </c>
      <c r="AD14" s="763" t="s">
        <v>1153</v>
      </c>
    </row>
    <row r="15" spans="1:30" s="226" customFormat="1" ht="268.5" customHeight="1" x14ac:dyDescent="0.2">
      <c r="A15" s="425" t="s">
        <v>202</v>
      </c>
      <c r="B15" s="425" t="s">
        <v>53</v>
      </c>
      <c r="C15" s="509" t="s">
        <v>1139</v>
      </c>
      <c r="D15" s="380" t="s">
        <v>1140</v>
      </c>
      <c r="E15" s="380" t="s">
        <v>1141</v>
      </c>
      <c r="F15" s="380" t="s">
        <v>1154</v>
      </c>
      <c r="G15" s="509" t="s">
        <v>1155</v>
      </c>
      <c r="H15" s="512">
        <v>3</v>
      </c>
      <c r="I15" s="509" t="s">
        <v>1150</v>
      </c>
      <c r="J15" s="484"/>
      <c r="K15" s="484"/>
      <c r="L15" s="380" t="s">
        <v>1156</v>
      </c>
      <c r="M15" s="510">
        <v>43374</v>
      </c>
      <c r="N15" s="758">
        <v>43449</v>
      </c>
      <c r="O15" s="497">
        <f t="shared" si="2"/>
        <v>10.714285714285714</v>
      </c>
      <c r="P15" s="140">
        <v>43641</v>
      </c>
      <c r="Q15" s="140">
        <v>43641</v>
      </c>
      <c r="R15" s="383">
        <f t="shared" si="0"/>
        <v>27.428571428571431</v>
      </c>
      <c r="S15" s="384" t="str">
        <f ca="1">IF((N15-TODAY())/7&gt;=0,"En tiempo","Alerta")</f>
        <v>Alerta</v>
      </c>
      <c r="T15" s="759">
        <v>3</v>
      </c>
      <c r="U15" s="363">
        <f t="shared" si="7"/>
        <v>1</v>
      </c>
      <c r="V15" s="386">
        <f t="shared" si="4"/>
        <v>0</v>
      </c>
      <c r="W15" s="387" t="str">
        <f t="shared" si="8"/>
        <v>Incumple</v>
      </c>
      <c r="X15" s="139" t="s">
        <v>1157</v>
      </c>
      <c r="Y15" s="761" t="s">
        <v>1158</v>
      </c>
      <c r="Z15" s="386">
        <f t="shared" si="5"/>
        <v>0.5</v>
      </c>
      <c r="AA15" s="388">
        <v>1</v>
      </c>
      <c r="AB15" s="388"/>
      <c r="AC15" s="389">
        <f t="shared" si="1"/>
        <v>0.75</v>
      </c>
      <c r="AD15" s="763" t="s">
        <v>1159</v>
      </c>
    </row>
    <row r="16" spans="1:30" s="226" customFormat="1" ht="260.25" customHeight="1" x14ac:dyDescent="0.2">
      <c r="A16" s="425" t="s">
        <v>202</v>
      </c>
      <c r="B16" s="425" t="s">
        <v>53</v>
      </c>
      <c r="C16" s="509" t="s">
        <v>1160</v>
      </c>
      <c r="D16" s="380" t="s">
        <v>1140</v>
      </c>
      <c r="E16" s="380" t="s">
        <v>1161</v>
      </c>
      <c r="F16" s="380" t="s">
        <v>1162</v>
      </c>
      <c r="G16" s="509" t="s">
        <v>1163</v>
      </c>
      <c r="H16" s="512">
        <v>3</v>
      </c>
      <c r="I16" s="509" t="s">
        <v>1121</v>
      </c>
      <c r="J16" s="484"/>
      <c r="K16" s="484"/>
      <c r="L16" s="380" t="s">
        <v>1164</v>
      </c>
      <c r="M16" s="510">
        <v>43374</v>
      </c>
      <c r="N16" s="758">
        <v>45107</v>
      </c>
      <c r="O16" s="497">
        <f t="shared" si="2"/>
        <v>247.57142857142858</v>
      </c>
      <c r="P16" s="140">
        <v>45488</v>
      </c>
      <c r="Q16" s="140">
        <v>45488</v>
      </c>
      <c r="R16" s="383">
        <f t="shared" si="0"/>
        <v>54.428571428571416</v>
      </c>
      <c r="S16" s="384" t="str">
        <f t="shared" ref="S16:S30" ca="1" si="9">IF((N16-TODAY())/7&gt;=0,"En tiempo","Alerta")</f>
        <v>Alerta</v>
      </c>
      <c r="T16" s="759">
        <v>3</v>
      </c>
      <c r="U16" s="363">
        <f t="shared" si="7"/>
        <v>1</v>
      </c>
      <c r="V16" s="386">
        <f t="shared" si="4"/>
        <v>0.78015002885170226</v>
      </c>
      <c r="W16" s="387" t="str">
        <f>IF(Q16&lt;=N16,"Cumple","Incumple")</f>
        <v>Incumple</v>
      </c>
      <c r="X16" s="139" t="s">
        <v>1165</v>
      </c>
      <c r="Y16" s="761" t="s">
        <v>1166</v>
      </c>
      <c r="Z16" s="386">
        <f t="shared" si="5"/>
        <v>0.89007501442585113</v>
      </c>
      <c r="AA16" s="388"/>
      <c r="AB16" s="388"/>
      <c r="AC16" s="421"/>
      <c r="AD16" s="763" t="s">
        <v>1167</v>
      </c>
    </row>
    <row r="17" spans="1:30" s="226" customFormat="1" ht="374.25" customHeight="1" x14ac:dyDescent="0.2">
      <c r="A17" s="425" t="s">
        <v>202</v>
      </c>
      <c r="B17" s="425" t="s">
        <v>53</v>
      </c>
      <c r="C17" s="509" t="s">
        <v>1160</v>
      </c>
      <c r="D17" s="380" t="s">
        <v>1140</v>
      </c>
      <c r="E17" s="380" t="s">
        <v>1161</v>
      </c>
      <c r="F17" s="380" t="s">
        <v>1168</v>
      </c>
      <c r="G17" s="509" t="s">
        <v>1163</v>
      </c>
      <c r="H17" s="509">
        <v>3</v>
      </c>
      <c r="I17" s="509" t="s">
        <v>1121</v>
      </c>
      <c r="J17" s="484"/>
      <c r="K17" s="484"/>
      <c r="L17" s="380" t="s">
        <v>1164</v>
      </c>
      <c r="M17" s="510">
        <v>43374</v>
      </c>
      <c r="N17" s="758">
        <v>45107</v>
      </c>
      <c r="O17" s="497">
        <f t="shared" si="2"/>
        <v>247.57142857142858</v>
      </c>
      <c r="P17" s="140">
        <v>45488</v>
      </c>
      <c r="Q17" s="140">
        <v>45488</v>
      </c>
      <c r="R17" s="383">
        <f t="shared" si="0"/>
        <v>54.428571428571416</v>
      </c>
      <c r="S17" s="384" t="str">
        <f t="shared" ca="1" si="9"/>
        <v>Alerta</v>
      </c>
      <c r="T17" s="759">
        <v>3</v>
      </c>
      <c r="U17" s="363">
        <f t="shared" si="7"/>
        <v>1</v>
      </c>
      <c r="V17" s="386">
        <f t="shared" si="4"/>
        <v>0.78015002885170226</v>
      </c>
      <c r="W17" s="387" t="str">
        <f>IF(Q17&lt;=N17,"Cumple","Incumple")</f>
        <v>Incumple</v>
      </c>
      <c r="X17" s="720" t="s">
        <v>1169</v>
      </c>
      <c r="Y17" s="761" t="s">
        <v>1170</v>
      </c>
      <c r="Z17" s="386">
        <f t="shared" si="5"/>
        <v>0.89007501442585113</v>
      </c>
      <c r="AA17" s="388"/>
      <c r="AB17" s="388"/>
      <c r="AC17" s="421"/>
      <c r="AD17" s="763" t="s">
        <v>1171</v>
      </c>
    </row>
    <row r="18" spans="1:30" s="226" customFormat="1" ht="210" customHeight="1" x14ac:dyDescent="0.2">
      <c r="A18" s="425" t="s">
        <v>202</v>
      </c>
      <c r="B18" s="425" t="s">
        <v>53</v>
      </c>
      <c r="C18" s="509" t="s">
        <v>1160</v>
      </c>
      <c r="D18" s="380" t="s">
        <v>1140</v>
      </c>
      <c r="E18" s="380" t="s">
        <v>1172</v>
      </c>
      <c r="F18" s="380" t="s">
        <v>1173</v>
      </c>
      <c r="G18" s="509" t="s">
        <v>1174</v>
      </c>
      <c r="H18" s="509">
        <v>3</v>
      </c>
      <c r="I18" s="509" t="s">
        <v>1121</v>
      </c>
      <c r="J18" s="484"/>
      <c r="K18" s="484"/>
      <c r="L18" s="380" t="s">
        <v>1175</v>
      </c>
      <c r="M18" s="510">
        <v>43374</v>
      </c>
      <c r="N18" s="758">
        <v>45107</v>
      </c>
      <c r="O18" s="497">
        <f t="shared" si="2"/>
        <v>247.57142857142858</v>
      </c>
      <c r="P18" s="140">
        <v>45657</v>
      </c>
      <c r="Q18" s="140">
        <f>P18</f>
        <v>45657</v>
      </c>
      <c r="R18" s="383">
        <f>(P18-M18)/7-O18</f>
        <v>78.571428571428584</v>
      </c>
      <c r="S18" s="384" t="str">
        <f t="shared" ca="1" si="9"/>
        <v>Alerta</v>
      </c>
      <c r="T18" s="759">
        <v>3</v>
      </c>
      <c r="U18" s="363">
        <f>IF(T18/H18=1,1,+T18/H18)</f>
        <v>1</v>
      </c>
      <c r="V18" s="386">
        <f t="shared" si="4"/>
        <v>0.68263127524523948</v>
      </c>
      <c r="W18" s="387" t="str">
        <f>IF(P18&lt;=N18,"Cumple","Incumple")</f>
        <v>Incumple</v>
      </c>
      <c r="X18" s="139" t="s">
        <v>3165</v>
      </c>
      <c r="Y18" s="761" t="s">
        <v>3166</v>
      </c>
      <c r="Z18" s="386">
        <f>(U18+V18)/2</f>
        <v>0.84131563762261974</v>
      </c>
      <c r="AA18" s="388">
        <v>0.5</v>
      </c>
      <c r="AB18" s="388">
        <v>1</v>
      </c>
      <c r="AC18" s="421">
        <f>AVERAGE(Z18:AB18)</f>
        <v>0.78043854587420658</v>
      </c>
      <c r="AD18" s="763" t="s">
        <v>1176</v>
      </c>
    </row>
    <row r="19" spans="1:30" s="226" customFormat="1" ht="192" customHeight="1" x14ac:dyDescent="0.2">
      <c r="A19" s="425" t="s">
        <v>202</v>
      </c>
      <c r="B19" s="425" t="s">
        <v>53</v>
      </c>
      <c r="C19" s="509" t="s">
        <v>1177</v>
      </c>
      <c r="D19" s="380" t="s">
        <v>1178</v>
      </c>
      <c r="E19" s="380" t="s">
        <v>1179</v>
      </c>
      <c r="F19" s="380" t="s">
        <v>1180</v>
      </c>
      <c r="G19" s="509" t="s">
        <v>1181</v>
      </c>
      <c r="H19" s="509">
        <v>1</v>
      </c>
      <c r="I19" s="509" t="s">
        <v>1121</v>
      </c>
      <c r="J19" s="484"/>
      <c r="K19" s="484"/>
      <c r="L19" s="380" t="s">
        <v>1182</v>
      </c>
      <c r="M19" s="510">
        <v>43374</v>
      </c>
      <c r="N19" s="758">
        <v>43403</v>
      </c>
      <c r="O19" s="497">
        <f t="shared" si="2"/>
        <v>4.1428571428571432</v>
      </c>
      <c r="P19" s="140">
        <v>43645</v>
      </c>
      <c r="Q19" s="140">
        <v>43645</v>
      </c>
      <c r="R19" s="383">
        <f t="shared" ref="R19:R30" si="10">(Q19-M19)/7-O19</f>
        <v>34.571428571428569</v>
      </c>
      <c r="S19" s="384" t="str">
        <f t="shared" ca="1" si="9"/>
        <v>Alerta</v>
      </c>
      <c r="T19" s="759">
        <v>1</v>
      </c>
      <c r="U19" s="363">
        <f t="shared" si="7"/>
        <v>1</v>
      </c>
      <c r="V19" s="386">
        <f t="shared" si="4"/>
        <v>0</v>
      </c>
      <c r="W19" s="387" t="str">
        <f t="shared" ref="W19:W25" si="11">IF(Q19&lt;=N19,"Cumple","Incumple")</f>
        <v>Incumple</v>
      </c>
      <c r="X19" s="139" t="s">
        <v>1183</v>
      </c>
      <c r="Y19" s="762" t="s">
        <v>1184</v>
      </c>
      <c r="Z19" s="386">
        <f t="shared" si="5"/>
        <v>0.5</v>
      </c>
      <c r="AA19" s="388">
        <v>0.5</v>
      </c>
      <c r="AB19" s="388">
        <v>0.5</v>
      </c>
      <c r="AC19" s="389">
        <f t="shared" si="1"/>
        <v>0.5</v>
      </c>
      <c r="AD19" s="763" t="s">
        <v>1185</v>
      </c>
    </row>
    <row r="20" spans="1:30" s="226" customFormat="1" ht="197.25" customHeight="1" x14ac:dyDescent="0.2">
      <c r="A20" s="425" t="s">
        <v>202</v>
      </c>
      <c r="B20" s="425" t="s">
        <v>53</v>
      </c>
      <c r="C20" s="509" t="s">
        <v>1177</v>
      </c>
      <c r="D20" s="380" t="s">
        <v>1178</v>
      </c>
      <c r="E20" s="380" t="s">
        <v>1179</v>
      </c>
      <c r="F20" s="380" t="s">
        <v>1186</v>
      </c>
      <c r="G20" s="509" t="s">
        <v>1187</v>
      </c>
      <c r="H20" s="509">
        <v>1</v>
      </c>
      <c r="I20" s="509" t="s">
        <v>1121</v>
      </c>
      <c r="J20" s="484"/>
      <c r="K20" s="484"/>
      <c r="L20" s="380" t="s">
        <v>1188</v>
      </c>
      <c r="M20" s="510">
        <v>43374</v>
      </c>
      <c r="N20" s="758">
        <v>43403</v>
      </c>
      <c r="O20" s="497">
        <f t="shared" si="2"/>
        <v>4.1428571428571432</v>
      </c>
      <c r="P20" s="140">
        <v>43646</v>
      </c>
      <c r="Q20" s="140">
        <v>43646</v>
      </c>
      <c r="R20" s="383">
        <f t="shared" si="10"/>
        <v>34.714285714285708</v>
      </c>
      <c r="S20" s="384" t="str">
        <f t="shared" ca="1" si="9"/>
        <v>Alerta</v>
      </c>
      <c r="T20" s="759">
        <v>1</v>
      </c>
      <c r="U20" s="363">
        <f t="shared" si="7"/>
        <v>1</v>
      </c>
      <c r="V20" s="386">
        <f t="shared" si="4"/>
        <v>0</v>
      </c>
      <c r="W20" s="387" t="str">
        <f t="shared" si="11"/>
        <v>Incumple</v>
      </c>
      <c r="X20" s="139" t="s">
        <v>1183</v>
      </c>
      <c r="Y20" s="762" t="s">
        <v>1184</v>
      </c>
      <c r="Z20" s="386">
        <f t="shared" si="5"/>
        <v>0.5</v>
      </c>
      <c r="AA20" s="388">
        <v>0.5</v>
      </c>
      <c r="AB20" s="388">
        <v>0.5</v>
      </c>
      <c r="AC20" s="389">
        <f t="shared" si="1"/>
        <v>0.5</v>
      </c>
      <c r="AD20" s="763" t="s">
        <v>1185</v>
      </c>
    </row>
    <row r="21" spans="1:30" s="226" customFormat="1" ht="189" customHeight="1" x14ac:dyDescent="0.2">
      <c r="A21" s="425" t="s">
        <v>202</v>
      </c>
      <c r="B21" s="425" t="s">
        <v>53</v>
      </c>
      <c r="C21" s="509" t="s">
        <v>1177</v>
      </c>
      <c r="D21" s="380" t="s">
        <v>1178</v>
      </c>
      <c r="E21" s="380" t="s">
        <v>1179</v>
      </c>
      <c r="F21" s="380" t="s">
        <v>1189</v>
      </c>
      <c r="G21" s="509" t="s">
        <v>1190</v>
      </c>
      <c r="H21" s="509">
        <v>1</v>
      </c>
      <c r="I21" s="509" t="s">
        <v>1121</v>
      </c>
      <c r="J21" s="484"/>
      <c r="K21" s="484"/>
      <c r="L21" s="380" t="s">
        <v>1191</v>
      </c>
      <c r="M21" s="510">
        <v>43374</v>
      </c>
      <c r="N21" s="758">
        <v>43449</v>
      </c>
      <c r="O21" s="497">
        <f t="shared" si="2"/>
        <v>10.714285714285714</v>
      </c>
      <c r="P21" s="140">
        <v>43647</v>
      </c>
      <c r="Q21" s="140">
        <v>43647</v>
      </c>
      <c r="R21" s="383">
        <f t="shared" si="10"/>
        <v>28.285714285714285</v>
      </c>
      <c r="S21" s="384" t="str">
        <f t="shared" ca="1" si="9"/>
        <v>Alerta</v>
      </c>
      <c r="T21" s="759">
        <v>1</v>
      </c>
      <c r="U21" s="363">
        <f t="shared" si="7"/>
        <v>1</v>
      </c>
      <c r="V21" s="386">
        <f t="shared" si="4"/>
        <v>0</v>
      </c>
      <c r="W21" s="387" t="str">
        <f t="shared" si="11"/>
        <v>Incumple</v>
      </c>
      <c r="X21" s="139" t="s">
        <v>1183</v>
      </c>
      <c r="Y21" s="762" t="s">
        <v>1184</v>
      </c>
      <c r="Z21" s="386">
        <f t="shared" si="5"/>
        <v>0.5</v>
      </c>
      <c r="AA21" s="388">
        <v>0.5</v>
      </c>
      <c r="AB21" s="388">
        <v>0.5</v>
      </c>
      <c r="AC21" s="389">
        <f t="shared" si="1"/>
        <v>0.5</v>
      </c>
      <c r="AD21" s="763" t="s">
        <v>1192</v>
      </c>
    </row>
    <row r="22" spans="1:30" s="226" customFormat="1" ht="310.5" x14ac:dyDescent="0.2">
      <c r="A22" s="425" t="s">
        <v>202</v>
      </c>
      <c r="B22" s="425" t="s">
        <v>53</v>
      </c>
      <c r="C22" s="509" t="s">
        <v>1193</v>
      </c>
      <c r="D22" s="380" t="s">
        <v>1194</v>
      </c>
      <c r="E22" s="380" t="s">
        <v>1195</v>
      </c>
      <c r="F22" s="380" t="s">
        <v>1196</v>
      </c>
      <c r="G22" s="509" t="s">
        <v>1197</v>
      </c>
      <c r="H22" s="509">
        <v>1</v>
      </c>
      <c r="I22" s="509" t="s">
        <v>1198</v>
      </c>
      <c r="J22" s="484"/>
      <c r="K22" s="484"/>
      <c r="L22" s="380" t="s">
        <v>1199</v>
      </c>
      <c r="M22" s="510">
        <v>43136</v>
      </c>
      <c r="N22" s="758">
        <v>43449</v>
      </c>
      <c r="O22" s="497">
        <f t="shared" si="2"/>
        <v>44.714285714285715</v>
      </c>
      <c r="P22" s="140">
        <v>43648</v>
      </c>
      <c r="Q22" s="140">
        <v>43648</v>
      </c>
      <c r="R22" s="383">
        <f t="shared" si="10"/>
        <v>28.428571428571423</v>
      </c>
      <c r="S22" s="384" t="str">
        <f t="shared" ca="1" si="9"/>
        <v>Alerta</v>
      </c>
      <c r="T22" s="759">
        <v>1</v>
      </c>
      <c r="U22" s="363">
        <f t="shared" si="7"/>
        <v>1</v>
      </c>
      <c r="V22" s="386">
        <f t="shared" si="4"/>
        <v>0.36421725239616631</v>
      </c>
      <c r="W22" s="387" t="str">
        <f t="shared" si="11"/>
        <v>Incumple</v>
      </c>
      <c r="X22" s="139" t="s">
        <v>1200</v>
      </c>
      <c r="Y22" s="761" t="s">
        <v>162</v>
      </c>
      <c r="Z22" s="386">
        <f t="shared" si="5"/>
        <v>0.6821086261980831</v>
      </c>
      <c r="AA22" s="388">
        <v>0.75</v>
      </c>
      <c r="AB22" s="388">
        <v>0.5</v>
      </c>
      <c r="AC22" s="389">
        <f t="shared" si="1"/>
        <v>0.6440362087326944</v>
      </c>
      <c r="AD22" s="763" t="s">
        <v>1201</v>
      </c>
    </row>
    <row r="23" spans="1:30" s="226" customFormat="1" ht="142.5" x14ac:dyDescent="0.2">
      <c r="A23" s="425" t="s">
        <v>202</v>
      </c>
      <c r="B23" s="425" t="s">
        <v>53</v>
      </c>
      <c r="C23" s="509" t="s">
        <v>1193</v>
      </c>
      <c r="D23" s="380" t="s">
        <v>1194</v>
      </c>
      <c r="E23" s="380" t="s">
        <v>1195</v>
      </c>
      <c r="F23" s="380" t="s">
        <v>1202</v>
      </c>
      <c r="G23" s="509" t="s">
        <v>1203</v>
      </c>
      <c r="H23" s="509">
        <v>1</v>
      </c>
      <c r="I23" s="509" t="s">
        <v>1198</v>
      </c>
      <c r="J23" s="484"/>
      <c r="K23" s="484"/>
      <c r="L23" s="380" t="s">
        <v>1204</v>
      </c>
      <c r="M23" s="510">
        <v>43136</v>
      </c>
      <c r="N23" s="758">
        <v>43449</v>
      </c>
      <c r="O23" s="497">
        <f t="shared" si="2"/>
        <v>44.714285714285715</v>
      </c>
      <c r="P23" s="140">
        <v>43649</v>
      </c>
      <c r="Q23" s="140">
        <v>43649</v>
      </c>
      <c r="R23" s="383">
        <f t="shared" si="10"/>
        <v>28.571428571428577</v>
      </c>
      <c r="S23" s="384" t="str">
        <f t="shared" ca="1" si="9"/>
        <v>Alerta</v>
      </c>
      <c r="T23" s="759">
        <v>1</v>
      </c>
      <c r="U23" s="363">
        <f t="shared" si="7"/>
        <v>1</v>
      </c>
      <c r="V23" s="386">
        <f t="shared" si="4"/>
        <v>0.36102236421725231</v>
      </c>
      <c r="W23" s="387" t="str">
        <f t="shared" si="11"/>
        <v>Incumple</v>
      </c>
      <c r="X23" s="139" t="s">
        <v>1200</v>
      </c>
      <c r="Y23" s="761" t="s">
        <v>162</v>
      </c>
      <c r="Z23" s="386">
        <f t="shared" si="5"/>
        <v>0.68051118210862616</v>
      </c>
      <c r="AA23" s="388">
        <v>1</v>
      </c>
      <c r="AB23" s="388">
        <v>1</v>
      </c>
      <c r="AC23" s="389">
        <f t="shared" si="1"/>
        <v>0.89350372736954198</v>
      </c>
      <c r="AD23" s="763" t="s">
        <v>1205</v>
      </c>
    </row>
    <row r="24" spans="1:30" s="226" customFormat="1" ht="142.5" x14ac:dyDescent="0.2">
      <c r="A24" s="425" t="s">
        <v>202</v>
      </c>
      <c r="B24" s="425" t="s">
        <v>53</v>
      </c>
      <c r="C24" s="509" t="s">
        <v>1193</v>
      </c>
      <c r="D24" s="380" t="s">
        <v>1194</v>
      </c>
      <c r="E24" s="380" t="s">
        <v>1195</v>
      </c>
      <c r="F24" s="380" t="s">
        <v>1206</v>
      </c>
      <c r="G24" s="509" t="s">
        <v>1207</v>
      </c>
      <c r="H24" s="509">
        <v>1</v>
      </c>
      <c r="I24" s="509" t="s">
        <v>1208</v>
      </c>
      <c r="J24" s="484"/>
      <c r="K24" s="484"/>
      <c r="L24" s="380" t="s">
        <v>1209</v>
      </c>
      <c r="M24" s="510">
        <v>43136</v>
      </c>
      <c r="N24" s="758">
        <v>43449</v>
      </c>
      <c r="O24" s="497">
        <f t="shared" si="2"/>
        <v>44.714285714285715</v>
      </c>
      <c r="P24" s="140">
        <v>43650</v>
      </c>
      <c r="Q24" s="140">
        <v>43650</v>
      </c>
      <c r="R24" s="383">
        <f t="shared" si="10"/>
        <v>28.714285714285715</v>
      </c>
      <c r="S24" s="384" t="str">
        <f t="shared" ca="1" si="9"/>
        <v>Alerta</v>
      </c>
      <c r="T24" s="759">
        <v>1</v>
      </c>
      <c r="U24" s="363">
        <f t="shared" si="7"/>
        <v>1</v>
      </c>
      <c r="V24" s="386">
        <f t="shared" si="4"/>
        <v>0.35782747603833864</v>
      </c>
      <c r="W24" s="387" t="str">
        <f t="shared" si="11"/>
        <v>Incumple</v>
      </c>
      <c r="X24" s="139" t="s">
        <v>1200</v>
      </c>
      <c r="Y24" s="761" t="s">
        <v>162</v>
      </c>
      <c r="Z24" s="386">
        <f t="shared" si="5"/>
        <v>0.67891373801916932</v>
      </c>
      <c r="AA24" s="388">
        <v>1</v>
      </c>
      <c r="AB24" s="388">
        <v>1</v>
      </c>
      <c r="AC24" s="389">
        <f t="shared" si="1"/>
        <v>0.89297124600638977</v>
      </c>
      <c r="AD24" s="763" t="s">
        <v>1205</v>
      </c>
    </row>
    <row r="25" spans="1:30" s="226" customFormat="1" ht="172.5" customHeight="1" x14ac:dyDescent="0.2">
      <c r="A25" s="425" t="s">
        <v>202</v>
      </c>
      <c r="B25" s="425" t="s">
        <v>53</v>
      </c>
      <c r="C25" s="509" t="s">
        <v>1210</v>
      </c>
      <c r="D25" s="380" t="s">
        <v>1211</v>
      </c>
      <c r="E25" s="380" t="s">
        <v>1212</v>
      </c>
      <c r="F25" s="380" t="s">
        <v>1213</v>
      </c>
      <c r="G25" s="509" t="s">
        <v>1214</v>
      </c>
      <c r="H25" s="513">
        <v>1</v>
      </c>
      <c r="I25" s="509" t="s">
        <v>1198</v>
      </c>
      <c r="J25" s="484"/>
      <c r="K25" s="484"/>
      <c r="L25" s="380" t="s">
        <v>1215</v>
      </c>
      <c r="M25" s="510">
        <v>43374</v>
      </c>
      <c r="N25" s="758">
        <v>45107</v>
      </c>
      <c r="O25" s="497">
        <f t="shared" si="2"/>
        <v>247.57142857142858</v>
      </c>
      <c r="P25" s="140">
        <v>45107</v>
      </c>
      <c r="Q25" s="140">
        <v>45107</v>
      </c>
      <c r="R25" s="383">
        <f t="shared" si="10"/>
        <v>0</v>
      </c>
      <c r="S25" s="384" t="str">
        <f t="shared" ca="1" si="9"/>
        <v>Alerta</v>
      </c>
      <c r="T25" s="759">
        <v>1</v>
      </c>
      <c r="U25" s="363">
        <f t="shared" si="7"/>
        <v>1</v>
      </c>
      <c r="V25" s="386" t="str">
        <f t="shared" si="4"/>
        <v>100%</v>
      </c>
      <c r="W25" s="387" t="str">
        <f t="shared" si="11"/>
        <v>Cumple</v>
      </c>
      <c r="X25" s="139" t="s">
        <v>1216</v>
      </c>
      <c r="Y25" s="761" t="s">
        <v>1217</v>
      </c>
      <c r="Z25" s="386">
        <f t="shared" si="5"/>
        <v>1</v>
      </c>
      <c r="AA25" s="388">
        <v>1</v>
      </c>
      <c r="AB25" s="388">
        <v>0.25</v>
      </c>
      <c r="AC25" s="389">
        <f t="shared" si="1"/>
        <v>0.75</v>
      </c>
      <c r="AD25" s="763" t="s">
        <v>1218</v>
      </c>
    </row>
    <row r="26" spans="1:30" s="226" customFormat="1" ht="219" customHeight="1" x14ac:dyDescent="0.2">
      <c r="A26" s="425" t="s">
        <v>202</v>
      </c>
      <c r="B26" s="425" t="s">
        <v>53</v>
      </c>
      <c r="C26" s="509" t="s">
        <v>1210</v>
      </c>
      <c r="D26" s="380" t="s">
        <v>1211</v>
      </c>
      <c r="E26" s="380" t="s">
        <v>1212</v>
      </c>
      <c r="F26" s="380" t="s">
        <v>1219</v>
      </c>
      <c r="G26" s="509" t="s">
        <v>1220</v>
      </c>
      <c r="H26" s="513">
        <v>1</v>
      </c>
      <c r="I26" s="509" t="s">
        <v>1198</v>
      </c>
      <c r="J26" s="484"/>
      <c r="K26" s="484"/>
      <c r="L26" s="380" t="s">
        <v>1215</v>
      </c>
      <c r="M26" s="510">
        <v>43374</v>
      </c>
      <c r="N26" s="758">
        <v>45107</v>
      </c>
      <c r="O26" s="497">
        <f t="shared" si="2"/>
        <v>247.57142857142858</v>
      </c>
      <c r="P26" s="140">
        <v>45657</v>
      </c>
      <c r="Q26" s="140">
        <f>P26</f>
        <v>45657</v>
      </c>
      <c r="R26" s="383">
        <f t="shared" si="10"/>
        <v>78.571428571428584</v>
      </c>
      <c r="S26" s="384" t="str">
        <f t="shared" ca="1" si="9"/>
        <v>Alerta</v>
      </c>
      <c r="T26" s="759">
        <v>0.8</v>
      </c>
      <c r="U26" s="363">
        <f t="shared" si="7"/>
        <v>0.8</v>
      </c>
      <c r="V26" s="386">
        <f t="shared" si="4"/>
        <v>0.68263127524523948</v>
      </c>
      <c r="W26" s="387" t="str">
        <f>IF(P26&lt;=N26,"Cumple","Incumple")</f>
        <v>Incumple</v>
      </c>
      <c r="X26" s="139" t="s">
        <v>3167</v>
      </c>
      <c r="Y26" s="761" t="s">
        <v>1221</v>
      </c>
      <c r="Z26" s="386">
        <f t="shared" si="5"/>
        <v>0.74131563762261976</v>
      </c>
      <c r="AA26" s="388"/>
      <c r="AB26" s="388"/>
      <c r="AC26" s="421"/>
      <c r="AD26" s="763"/>
    </row>
    <row r="27" spans="1:30" s="226" customFormat="1" ht="274.5" customHeight="1" x14ac:dyDescent="0.2">
      <c r="A27" s="425" t="s">
        <v>202</v>
      </c>
      <c r="B27" s="425" t="s">
        <v>53</v>
      </c>
      <c r="C27" s="509" t="s">
        <v>1210</v>
      </c>
      <c r="D27" s="380" t="s">
        <v>1211</v>
      </c>
      <c r="E27" s="380" t="s">
        <v>1212</v>
      </c>
      <c r="F27" s="380" t="s">
        <v>1222</v>
      </c>
      <c r="G27" s="509" t="s">
        <v>1223</v>
      </c>
      <c r="H27" s="513">
        <v>1</v>
      </c>
      <c r="I27" s="509" t="s">
        <v>1198</v>
      </c>
      <c r="J27" s="484"/>
      <c r="K27" s="484"/>
      <c r="L27" s="380" t="s">
        <v>1215</v>
      </c>
      <c r="M27" s="510">
        <v>43374</v>
      </c>
      <c r="N27" s="758">
        <v>45107</v>
      </c>
      <c r="O27" s="497">
        <f t="shared" si="2"/>
        <v>247.57142857142858</v>
      </c>
      <c r="P27" s="140">
        <v>45657</v>
      </c>
      <c r="Q27" s="140">
        <f>P27</f>
        <v>45657</v>
      </c>
      <c r="R27" s="383">
        <f t="shared" si="10"/>
        <v>78.571428571428584</v>
      </c>
      <c r="S27" s="384" t="str">
        <f t="shared" ca="1" si="9"/>
        <v>Alerta</v>
      </c>
      <c r="T27" s="759">
        <v>0.4</v>
      </c>
      <c r="U27" s="363">
        <f t="shared" si="7"/>
        <v>0.4</v>
      </c>
      <c r="V27" s="386">
        <f t="shared" si="4"/>
        <v>0.68263127524523948</v>
      </c>
      <c r="W27" s="387" t="str">
        <f>IF(P27&lt;=N27,"Cumple","Incumple")</f>
        <v>Incumple</v>
      </c>
      <c r="X27" s="139" t="s">
        <v>3168</v>
      </c>
      <c r="Y27" s="761" t="s">
        <v>3169</v>
      </c>
      <c r="Z27" s="386">
        <f t="shared" si="5"/>
        <v>0.54131563762261981</v>
      </c>
      <c r="AA27" s="388"/>
      <c r="AB27" s="388"/>
      <c r="AC27" s="421"/>
      <c r="AD27" s="763"/>
    </row>
    <row r="28" spans="1:30" s="226" customFormat="1" ht="274.5" customHeight="1" x14ac:dyDescent="0.2">
      <c r="A28" s="425" t="s">
        <v>202</v>
      </c>
      <c r="B28" s="425" t="s">
        <v>53</v>
      </c>
      <c r="C28" s="509" t="s">
        <v>1224</v>
      </c>
      <c r="D28" s="380" t="s">
        <v>1225</v>
      </c>
      <c r="E28" s="380" t="s">
        <v>1226</v>
      </c>
      <c r="F28" s="380" t="s">
        <v>1227</v>
      </c>
      <c r="G28" s="509" t="s">
        <v>1228</v>
      </c>
      <c r="H28" s="509">
        <v>1</v>
      </c>
      <c r="I28" s="509" t="s">
        <v>1144</v>
      </c>
      <c r="J28" s="484"/>
      <c r="K28" s="484"/>
      <c r="L28" s="380"/>
      <c r="M28" s="510">
        <v>43374</v>
      </c>
      <c r="N28" s="758">
        <v>45107</v>
      </c>
      <c r="O28" s="497">
        <f t="shared" si="2"/>
        <v>247.57142857142858</v>
      </c>
      <c r="P28" s="140">
        <v>45488</v>
      </c>
      <c r="Q28" s="140">
        <f>P28</f>
        <v>45488</v>
      </c>
      <c r="R28" s="383">
        <f t="shared" si="10"/>
        <v>54.428571428571416</v>
      </c>
      <c r="S28" s="384" t="str">
        <f t="shared" ca="1" si="9"/>
        <v>Alerta</v>
      </c>
      <c r="T28" s="759">
        <v>0.8</v>
      </c>
      <c r="U28" s="363">
        <f t="shared" si="7"/>
        <v>0.8</v>
      </c>
      <c r="V28" s="386">
        <f t="shared" si="4"/>
        <v>0.78015002885170226</v>
      </c>
      <c r="W28" s="387" t="str">
        <f>IF(P28&lt;=N28,"Cumple","Incumple")</f>
        <v>Incumple</v>
      </c>
      <c r="X28" s="139" t="s">
        <v>3170</v>
      </c>
      <c r="Y28" s="761" t="s">
        <v>3171</v>
      </c>
      <c r="Z28" s="386">
        <f t="shared" si="5"/>
        <v>0.79007501442585115</v>
      </c>
      <c r="AA28" s="388"/>
      <c r="AB28" s="388"/>
      <c r="AC28" s="421"/>
      <c r="AD28" s="763" t="s">
        <v>1229</v>
      </c>
    </row>
    <row r="29" spans="1:30" s="226" customFormat="1" ht="85.5" x14ac:dyDescent="0.2">
      <c r="A29" s="425" t="s">
        <v>202</v>
      </c>
      <c r="B29" s="425" t="s">
        <v>53</v>
      </c>
      <c r="C29" s="509" t="s">
        <v>1230</v>
      </c>
      <c r="D29" s="380" t="s">
        <v>1231</v>
      </c>
      <c r="E29" s="380" t="s">
        <v>1232</v>
      </c>
      <c r="F29" s="380" t="s">
        <v>1233</v>
      </c>
      <c r="G29" s="509" t="s">
        <v>1234</v>
      </c>
      <c r="H29" s="512">
        <v>3</v>
      </c>
      <c r="I29" s="509" t="s">
        <v>1235</v>
      </c>
      <c r="J29" s="484"/>
      <c r="K29" s="484"/>
      <c r="L29" s="380" t="s">
        <v>1236</v>
      </c>
      <c r="M29" s="510">
        <v>43466</v>
      </c>
      <c r="N29" s="758">
        <v>43739</v>
      </c>
      <c r="O29" s="497">
        <f t="shared" si="2"/>
        <v>39</v>
      </c>
      <c r="P29" s="140">
        <v>43659</v>
      </c>
      <c r="Q29" s="140">
        <v>44560</v>
      </c>
      <c r="R29" s="383">
        <f t="shared" si="10"/>
        <v>117.28571428571428</v>
      </c>
      <c r="S29" s="384" t="str">
        <f t="shared" ca="1" si="9"/>
        <v>Alerta</v>
      </c>
      <c r="T29" s="759">
        <v>3</v>
      </c>
      <c r="U29" s="363">
        <f t="shared" si="7"/>
        <v>1</v>
      </c>
      <c r="V29" s="386">
        <f t="shared" si="4"/>
        <v>0</v>
      </c>
      <c r="W29" s="387" t="str">
        <f t="shared" si="8"/>
        <v>Incumple</v>
      </c>
      <c r="X29" s="139" t="s">
        <v>1237</v>
      </c>
      <c r="Y29" s="761" t="s">
        <v>3172</v>
      </c>
      <c r="Z29" s="386">
        <f t="shared" si="5"/>
        <v>0.5</v>
      </c>
      <c r="AA29" s="388"/>
      <c r="AB29" s="388"/>
      <c r="AC29" s="389">
        <f t="shared" si="1"/>
        <v>0.5</v>
      </c>
      <c r="AD29" s="763" t="s">
        <v>1238</v>
      </c>
    </row>
    <row r="30" spans="1:30" s="226" customFormat="1" ht="178.5" customHeight="1" x14ac:dyDescent="0.2">
      <c r="A30" s="425" t="s">
        <v>202</v>
      </c>
      <c r="B30" s="425" t="s">
        <v>53</v>
      </c>
      <c r="C30" s="509" t="s">
        <v>1230</v>
      </c>
      <c r="D30" s="380" t="s">
        <v>1231</v>
      </c>
      <c r="E30" s="380" t="s">
        <v>1232</v>
      </c>
      <c r="F30" s="380" t="s">
        <v>1239</v>
      </c>
      <c r="G30" s="509" t="s">
        <v>1240</v>
      </c>
      <c r="H30" s="512">
        <v>1</v>
      </c>
      <c r="I30" s="509" t="s">
        <v>1241</v>
      </c>
      <c r="J30" s="484"/>
      <c r="K30" s="484"/>
      <c r="L30" s="380" t="s">
        <v>1242</v>
      </c>
      <c r="M30" s="510">
        <v>43374</v>
      </c>
      <c r="N30" s="758">
        <v>43739</v>
      </c>
      <c r="O30" s="497">
        <f t="shared" si="2"/>
        <v>52.142857142857146</v>
      </c>
      <c r="P30" s="140">
        <v>45488</v>
      </c>
      <c r="Q30" s="140">
        <f>P30</f>
        <v>45488</v>
      </c>
      <c r="R30" s="383">
        <f t="shared" si="10"/>
        <v>249.85714285714286</v>
      </c>
      <c r="S30" s="384" t="str">
        <f t="shared" ca="1" si="9"/>
        <v>Alerta</v>
      </c>
      <c r="T30" s="759">
        <v>0.4</v>
      </c>
      <c r="U30" s="363">
        <f t="shared" si="7"/>
        <v>0.4</v>
      </c>
      <c r="V30" s="386">
        <f t="shared" si="4"/>
        <v>0</v>
      </c>
      <c r="W30" s="387" t="str">
        <f>IF(P30&lt;=N30,"Cumple","Incumple")</f>
        <v>Incumple</v>
      </c>
      <c r="X30" s="139" t="s">
        <v>3173</v>
      </c>
      <c r="Y30" s="761" t="s">
        <v>3174</v>
      </c>
      <c r="Z30" s="386">
        <f t="shared" si="5"/>
        <v>0.2</v>
      </c>
      <c r="AA30" s="388"/>
      <c r="AB30" s="388"/>
      <c r="AC30" s="421"/>
      <c r="AD30" s="763"/>
    </row>
    <row r="31" spans="1:30" s="226" customFormat="1" ht="208.5" customHeight="1" x14ac:dyDescent="0.2">
      <c r="A31" s="425" t="s">
        <v>202</v>
      </c>
      <c r="B31" s="425" t="s">
        <v>53</v>
      </c>
      <c r="C31" s="509" t="s">
        <v>1230</v>
      </c>
      <c r="D31" s="380" t="s">
        <v>1231</v>
      </c>
      <c r="E31" s="380" t="s">
        <v>1232</v>
      </c>
      <c r="F31" s="380" t="s">
        <v>1243</v>
      </c>
      <c r="G31" s="380" t="s">
        <v>1244</v>
      </c>
      <c r="H31" s="380">
        <v>4</v>
      </c>
      <c r="I31" s="509" t="s">
        <v>1241</v>
      </c>
      <c r="J31" s="484"/>
      <c r="K31" s="484"/>
      <c r="L31" s="380" t="s">
        <v>1245</v>
      </c>
      <c r="M31" s="510">
        <v>43374</v>
      </c>
      <c r="N31" s="758">
        <v>43739</v>
      </c>
      <c r="O31" s="497">
        <f t="shared" si="2"/>
        <v>52.142857142857146</v>
      </c>
      <c r="P31" s="140">
        <v>45488</v>
      </c>
      <c r="Q31" s="140">
        <f>P31</f>
        <v>45488</v>
      </c>
      <c r="R31" s="383">
        <f>(P31-M31)/7-O31</f>
        <v>249.85714285714286</v>
      </c>
      <c r="S31" s="384" t="str">
        <f ca="1">IF((N31-TODAY())/7&gt;=0,"En tiempo","Alerta")</f>
        <v>Alerta</v>
      </c>
      <c r="T31" s="759">
        <v>0</v>
      </c>
      <c r="U31" s="363">
        <f t="shared" si="7"/>
        <v>0</v>
      </c>
      <c r="V31" s="386">
        <f t="shared" si="4"/>
        <v>0</v>
      </c>
      <c r="W31" s="387" t="str">
        <f>IF(P31&lt;=N31,"Cumple","Incumple")</f>
        <v>Incumple</v>
      </c>
      <c r="X31" s="139" t="s">
        <v>3175</v>
      </c>
      <c r="Y31" s="761" t="s">
        <v>3176</v>
      </c>
      <c r="Z31" s="386">
        <f t="shared" si="5"/>
        <v>0</v>
      </c>
      <c r="AA31" s="388"/>
      <c r="AB31" s="388"/>
      <c r="AC31" s="421"/>
      <c r="AD31" s="763"/>
    </row>
    <row r="32" spans="1:30" ht="30.75" customHeight="1" x14ac:dyDescent="0.2">
      <c r="G32" s="156" t="s">
        <v>314</v>
      </c>
      <c r="H32" s="159">
        <f>SUM(H7:H31)</f>
        <v>42</v>
      </c>
      <c r="R32" s="892" t="s">
        <v>195</v>
      </c>
      <c r="S32" s="892"/>
      <c r="T32" s="162">
        <f>SUM(T7:T31)</f>
        <v>34.549999999999997</v>
      </c>
      <c r="U32" s="322">
        <f>AVERAGE(U7:U31)</f>
        <v>0.82199999999999984</v>
      </c>
      <c r="V32" s="160" t="s">
        <v>44</v>
      </c>
      <c r="W32" s="161">
        <f>(COUNTIF(W7:W31,"Cumple")*100%)/COUNTA(W7:W31)</f>
        <v>0.08</v>
      </c>
      <c r="AA32" s="969" t="s">
        <v>195</v>
      </c>
      <c r="AB32" s="970"/>
      <c r="AC32" s="67">
        <f>AVERAGE(AC7:AC31)</f>
        <v>0.6751744263099666</v>
      </c>
    </row>
  </sheetData>
  <autoFilter ref="A6:AD32" xr:uid="{D8E0F7AD-5EA4-4CC1-A127-8512A1FA8B7F}"/>
  <mergeCells count="30">
    <mergeCell ref="O1:P2"/>
    <mergeCell ref="Q1:Y2"/>
    <mergeCell ref="A5:N5"/>
    <mergeCell ref="O5:Y5"/>
    <mergeCell ref="Z5:AD5"/>
    <mergeCell ref="W3:X3"/>
    <mergeCell ref="Z1:AD1"/>
    <mergeCell ref="A2:B2"/>
    <mergeCell ref="C2:F2"/>
    <mergeCell ref="G2:H2"/>
    <mergeCell ref="I2:N2"/>
    <mergeCell ref="Z2:AD4"/>
    <mergeCell ref="Q3:V3"/>
    <mergeCell ref="A1:B1"/>
    <mergeCell ref="C1:N1"/>
    <mergeCell ref="A3:B3"/>
    <mergeCell ref="C3:F3"/>
    <mergeCell ref="G3:H3"/>
    <mergeCell ref="I3:N3"/>
    <mergeCell ref="O3:P3"/>
    <mergeCell ref="T4:U4"/>
    <mergeCell ref="AA32:AB32"/>
    <mergeCell ref="R32:S32"/>
    <mergeCell ref="V4:Y4"/>
    <mergeCell ref="A4:B4"/>
    <mergeCell ref="C4:F4"/>
    <mergeCell ref="G4:H4"/>
    <mergeCell ref="I4:N4"/>
    <mergeCell ref="O4:P4"/>
    <mergeCell ref="Q4:S4"/>
  </mergeCells>
  <conditionalFormatting sqref="R7:R31">
    <cfRule type="cellIs" dxfId="252" priority="35" operator="greaterThan">
      <formula>0</formula>
    </cfRule>
    <cfRule type="cellIs" dxfId="251" priority="36" operator="lessThan">
      <formula>0</formula>
    </cfRule>
  </conditionalFormatting>
  <conditionalFormatting sqref="S7:S31">
    <cfRule type="containsText" dxfId="250" priority="33" operator="containsText" text="Alerta">
      <formula>NOT(ISERROR(SEARCH("Alerta",S7)))</formula>
    </cfRule>
    <cfRule type="containsText" dxfId="249" priority="34" operator="containsText" text="En tiempo">
      <formula>NOT(ISERROR(SEARCH("En tiempo",S7)))</formula>
    </cfRule>
  </conditionalFormatting>
  <conditionalFormatting sqref="U7:U32">
    <cfRule type="cellIs" dxfId="248" priority="1" stopIfTrue="1" operator="between">
      <formula>0.8</formula>
      <formula>1</formula>
    </cfRule>
    <cfRule type="cellIs" dxfId="247" priority="2" stopIfTrue="1" operator="between">
      <formula>0.5</formula>
      <formula>0.79</formula>
    </cfRule>
    <cfRule type="cellIs" dxfId="246" priority="3" stopIfTrue="1" operator="between">
      <formula>0.3</formula>
      <formula>0.49</formula>
    </cfRule>
    <cfRule type="cellIs" dxfId="245" priority="4" stopIfTrue="1" operator="between">
      <formula>0</formula>
      <formula>0.29</formula>
    </cfRule>
  </conditionalFormatting>
  <conditionalFormatting sqref="V7:V31 Z7:Z31">
    <cfRule type="cellIs" dxfId="244" priority="27" operator="between">
      <formula>0.19</formula>
      <formula>0</formula>
    </cfRule>
    <cfRule type="cellIs" dxfId="243" priority="28" operator="between">
      <formula>0.49</formula>
      <formula>0.2</formula>
    </cfRule>
    <cfRule type="cellIs" dxfId="242" priority="29" operator="between">
      <formula>0.89</formula>
      <formula>0.5</formula>
    </cfRule>
    <cfRule type="cellIs" dxfId="241" priority="30" operator="between">
      <formula>1</formula>
      <formula>0.9</formula>
    </cfRule>
  </conditionalFormatting>
  <conditionalFormatting sqref="W7:W31">
    <cfRule type="containsText" dxfId="240" priority="31" operator="containsText" text="Incumple">
      <formula>NOT(ISERROR(SEARCH("Incumple",W7)))</formula>
    </cfRule>
    <cfRule type="containsText" dxfId="239" priority="32" operator="containsText" text="Cumple">
      <formula>NOT(ISERROR(SEARCH("Cumple",W7)))</formula>
    </cfRule>
  </conditionalFormatting>
  <conditionalFormatting sqref="W32">
    <cfRule type="cellIs" dxfId="238" priority="19" operator="between">
      <formula>0.19</formula>
      <formula>0</formula>
    </cfRule>
    <cfRule type="cellIs" dxfId="237" priority="20" operator="between">
      <formula>0.49</formula>
      <formula>0.2</formula>
    </cfRule>
    <cfRule type="cellIs" dxfId="236" priority="21" operator="between">
      <formula>0.89</formula>
      <formula>0.5</formula>
    </cfRule>
    <cfRule type="cellIs" dxfId="235" priority="22" operator="between">
      <formula>1</formula>
      <formula>0.9</formula>
    </cfRule>
  </conditionalFormatting>
  <conditionalFormatting sqref="AC7:AC32">
    <cfRule type="cellIs" dxfId="234" priority="9" operator="between">
      <formula>0.3</formula>
      <formula>0</formula>
    </cfRule>
    <cfRule type="cellIs" dxfId="233" priority="10" operator="between">
      <formula>0.6999</formula>
      <formula>0.3111</formula>
    </cfRule>
    <cfRule type="cellIs" dxfId="232" priority="11" operator="between">
      <formula>1</formula>
      <formula>0.7</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22A3F-F700-47BC-93EA-071391DAE722}">
  <sheetPr>
    <tabColor theme="0"/>
  </sheetPr>
  <dimension ref="A1:AD21"/>
  <sheetViews>
    <sheetView topLeftCell="N1" zoomScale="84" zoomScaleNormal="84" workbookViewId="0">
      <selection activeCell="X7" sqref="X7"/>
    </sheetView>
  </sheetViews>
  <sheetFormatPr baseColWidth="10" defaultColWidth="9.140625" defaultRowHeight="12.75" x14ac:dyDescent="0.2"/>
  <cols>
    <col min="1" max="1" width="12.28515625" style="53" customWidth="1"/>
    <col min="2" max="2" width="12.7109375" style="53" customWidth="1"/>
    <col min="3" max="3" width="46.28515625" style="53" customWidth="1"/>
    <col min="4" max="4" width="35.42578125" style="53" customWidth="1"/>
    <col min="5" max="5" width="33.140625" style="53" customWidth="1"/>
    <col min="6" max="6" width="40.42578125" style="53" customWidth="1"/>
    <col min="7" max="7" width="25.85546875" style="53" customWidth="1"/>
    <col min="8" max="8" width="13" style="53" customWidth="1"/>
    <col min="9" max="9" width="35.5703125" style="53" customWidth="1"/>
    <col min="10" max="10" width="16.140625" style="53" customWidth="1"/>
    <col min="11" max="11" width="21.5703125" style="53" customWidth="1"/>
    <col min="12" max="12" width="20.42578125" style="53" customWidth="1"/>
    <col min="13" max="14" width="14.140625" style="53" customWidth="1"/>
    <col min="15" max="15" width="16.28515625" style="53" customWidth="1"/>
    <col min="16" max="16" width="17.28515625" style="53" customWidth="1"/>
    <col min="17" max="17" width="13.140625" style="53" customWidth="1"/>
    <col min="18" max="18" width="11.42578125" style="53" customWidth="1"/>
    <col min="19" max="19" width="11.140625" style="53" customWidth="1"/>
    <col min="20" max="20" width="15" style="53" customWidth="1"/>
    <col min="21" max="21" width="16.5703125" style="53" customWidth="1"/>
    <col min="22" max="22" width="14.42578125" style="53" customWidth="1"/>
    <col min="23" max="23" width="16.7109375" style="53" customWidth="1"/>
    <col min="24" max="24" width="89.42578125" style="295" customWidth="1"/>
    <col min="25" max="25" width="67" style="295" customWidth="1"/>
    <col min="26" max="26" width="12.42578125" style="53" customWidth="1"/>
    <col min="27" max="27" width="13.42578125" style="53" customWidth="1"/>
    <col min="28" max="28" width="14.140625" style="53" customWidth="1"/>
    <col min="29" max="29" width="12.5703125" style="53" customWidth="1"/>
    <col min="30" max="30" width="94.28515625" style="53" customWidth="1"/>
    <col min="31" max="41" width="9.140625" bestFit="1" customWidth="1"/>
    <col min="42" max="49" width="0" hidden="1" customWidth="1"/>
    <col min="50" max="50" width="22.42578125" customWidth="1"/>
  </cols>
  <sheetData>
    <row r="1" spans="1:30" ht="98.25" customHeight="1" x14ac:dyDescent="0.2">
      <c r="A1" s="858" t="s">
        <v>0</v>
      </c>
      <c r="B1" s="858"/>
      <c r="C1" s="858" t="s">
        <v>1</v>
      </c>
      <c r="D1" s="858"/>
      <c r="E1" s="858"/>
      <c r="F1" s="858"/>
      <c r="G1" s="858"/>
      <c r="H1" s="858"/>
      <c r="I1" s="858"/>
      <c r="J1" s="858"/>
      <c r="K1" s="858"/>
      <c r="L1" s="858"/>
      <c r="M1" s="858"/>
      <c r="N1" s="858"/>
      <c r="O1" s="858"/>
      <c r="P1" s="858"/>
      <c r="Q1" s="858" t="s">
        <v>2</v>
      </c>
      <c r="R1" s="858"/>
      <c r="S1" s="858"/>
      <c r="T1" s="858"/>
      <c r="U1" s="858"/>
      <c r="V1" s="858"/>
      <c r="W1" s="858"/>
      <c r="X1" s="980"/>
      <c r="Y1" s="980"/>
      <c r="Z1" s="858" t="s">
        <v>2</v>
      </c>
      <c r="AA1" s="858"/>
      <c r="AB1" s="858"/>
      <c r="AC1" s="858"/>
      <c r="AD1" s="858"/>
    </row>
    <row r="2" spans="1:30" ht="36.75" customHeight="1" x14ac:dyDescent="0.2">
      <c r="A2" s="858" t="s">
        <v>197</v>
      </c>
      <c r="B2" s="858"/>
      <c r="C2" s="858" t="s">
        <v>4</v>
      </c>
      <c r="D2" s="862"/>
      <c r="E2" s="862"/>
      <c r="F2" s="862"/>
      <c r="G2" s="858" t="s">
        <v>5</v>
      </c>
      <c r="H2" s="858"/>
      <c r="I2" s="858" t="s">
        <v>6</v>
      </c>
      <c r="J2" s="858"/>
      <c r="K2" s="858"/>
      <c r="L2" s="858"/>
      <c r="M2" s="858"/>
      <c r="N2" s="858"/>
      <c r="O2" s="858"/>
      <c r="P2" s="858"/>
      <c r="Q2" s="858"/>
      <c r="R2" s="858"/>
      <c r="S2" s="858"/>
      <c r="T2" s="858"/>
      <c r="U2" s="858"/>
      <c r="V2" s="858"/>
      <c r="W2" s="858"/>
      <c r="X2" s="980"/>
      <c r="Y2" s="980"/>
      <c r="Z2" s="858"/>
      <c r="AA2" s="858"/>
      <c r="AB2" s="858"/>
      <c r="AC2" s="858"/>
      <c r="AD2" s="858"/>
    </row>
    <row r="3" spans="1:30" ht="36.75" customHeight="1" x14ac:dyDescent="0.2">
      <c r="A3" s="859" t="s">
        <v>7</v>
      </c>
      <c r="B3" s="859"/>
      <c r="C3" s="858" t="s">
        <v>1246</v>
      </c>
      <c r="D3" s="858"/>
      <c r="E3" s="858"/>
      <c r="F3" s="858"/>
      <c r="G3" s="859" t="s">
        <v>9</v>
      </c>
      <c r="H3" s="859"/>
      <c r="I3" s="860" t="s">
        <v>1247</v>
      </c>
      <c r="J3" s="858"/>
      <c r="K3" s="858"/>
      <c r="L3" s="858"/>
      <c r="M3" s="858"/>
      <c r="N3" s="858"/>
      <c r="O3" s="859" t="s">
        <v>10</v>
      </c>
      <c r="P3" s="859"/>
      <c r="Q3" s="860">
        <v>45657</v>
      </c>
      <c r="R3" s="860"/>
      <c r="S3" s="860"/>
      <c r="T3" s="860"/>
      <c r="U3" s="860"/>
      <c r="V3" s="860"/>
      <c r="W3" s="859" t="s">
        <v>11</v>
      </c>
      <c r="X3" s="985"/>
      <c r="Y3" s="683" t="s">
        <v>1248</v>
      </c>
      <c r="Z3" s="858"/>
      <c r="AA3" s="858"/>
      <c r="AB3" s="858"/>
      <c r="AC3" s="858"/>
      <c r="AD3" s="858"/>
    </row>
    <row r="4" spans="1:30" ht="40.5" customHeight="1" x14ac:dyDescent="0.2">
      <c r="A4" s="859" t="s">
        <v>13</v>
      </c>
      <c r="B4" s="859"/>
      <c r="C4" s="858" t="s">
        <v>1249</v>
      </c>
      <c r="D4" s="858"/>
      <c r="E4" s="858"/>
      <c r="F4" s="858"/>
      <c r="G4" s="859" t="s">
        <v>15</v>
      </c>
      <c r="H4" s="859"/>
      <c r="I4" s="860">
        <v>45245</v>
      </c>
      <c r="J4" s="860"/>
      <c r="K4" s="860"/>
      <c r="L4" s="860"/>
      <c r="M4" s="860"/>
      <c r="N4" s="860"/>
      <c r="O4" s="859" t="s">
        <v>16</v>
      </c>
      <c r="P4" s="859"/>
      <c r="Q4" s="858" t="s">
        <v>1250</v>
      </c>
      <c r="R4" s="858"/>
      <c r="S4" s="858"/>
      <c r="T4" s="857" t="s">
        <v>18</v>
      </c>
      <c r="U4" s="857"/>
      <c r="V4" s="858" t="s">
        <v>1251</v>
      </c>
      <c r="W4" s="858"/>
      <c r="X4" s="980"/>
      <c r="Y4" s="980"/>
      <c r="Z4" s="858"/>
      <c r="AA4" s="858"/>
      <c r="AB4" s="858"/>
      <c r="AC4" s="858"/>
      <c r="AD4" s="858"/>
    </row>
    <row r="5" spans="1:30" ht="23.25" customHeight="1" thickBot="1" x14ac:dyDescent="0.25">
      <c r="A5" s="981" t="s">
        <v>19</v>
      </c>
      <c r="B5" s="981"/>
      <c r="C5" s="981"/>
      <c r="D5" s="981"/>
      <c r="E5" s="981"/>
      <c r="F5" s="981"/>
      <c r="G5" s="981"/>
      <c r="H5" s="981"/>
      <c r="I5" s="981"/>
      <c r="J5" s="981"/>
      <c r="K5" s="981"/>
      <c r="L5" s="981"/>
      <c r="M5" s="981"/>
      <c r="N5" s="981"/>
      <c r="O5" s="982" t="s">
        <v>20</v>
      </c>
      <c r="P5" s="982"/>
      <c r="Q5" s="982"/>
      <c r="R5" s="982"/>
      <c r="S5" s="982"/>
      <c r="T5" s="982"/>
      <c r="U5" s="982"/>
      <c r="V5" s="982"/>
      <c r="W5" s="982"/>
      <c r="X5" s="983"/>
      <c r="Y5" s="983"/>
      <c r="Z5" s="984" t="s">
        <v>21</v>
      </c>
      <c r="AA5" s="984"/>
      <c r="AB5" s="984"/>
      <c r="AC5" s="984"/>
      <c r="AD5" s="984"/>
    </row>
    <row r="6" spans="1:30" ht="75" x14ac:dyDescent="0.2">
      <c r="A6" s="134" t="s">
        <v>22</v>
      </c>
      <c r="B6" s="134" t="s">
        <v>23</v>
      </c>
      <c r="C6" s="134" t="s">
        <v>24</v>
      </c>
      <c r="D6" s="134" t="s">
        <v>25</v>
      </c>
      <c r="E6" s="134" t="s">
        <v>26</v>
      </c>
      <c r="F6" s="134" t="s">
        <v>27</v>
      </c>
      <c r="G6" s="134" t="s">
        <v>28</v>
      </c>
      <c r="H6" s="134" t="s">
        <v>29</v>
      </c>
      <c r="I6" s="134" t="s">
        <v>30</v>
      </c>
      <c r="J6" s="134" t="s">
        <v>31</v>
      </c>
      <c r="K6" s="134" t="s">
        <v>32</v>
      </c>
      <c r="L6" s="134" t="s">
        <v>33</v>
      </c>
      <c r="M6" s="134" t="s">
        <v>34</v>
      </c>
      <c r="N6" s="134" t="s">
        <v>35</v>
      </c>
      <c r="O6" s="135" t="s">
        <v>36</v>
      </c>
      <c r="P6" s="135" t="s">
        <v>37</v>
      </c>
      <c r="Q6" s="135" t="s">
        <v>38</v>
      </c>
      <c r="R6" s="135" t="s">
        <v>39</v>
      </c>
      <c r="S6" s="135" t="s">
        <v>40</v>
      </c>
      <c r="T6" s="135" t="s">
        <v>41</v>
      </c>
      <c r="U6" s="135" t="s">
        <v>42</v>
      </c>
      <c r="V6" s="135" t="s">
        <v>43</v>
      </c>
      <c r="W6" s="135" t="s">
        <v>44</v>
      </c>
      <c r="X6" s="684" t="s">
        <v>45</v>
      </c>
      <c r="Y6" s="684" t="s">
        <v>46</v>
      </c>
      <c r="Z6" s="138" t="s">
        <v>47</v>
      </c>
      <c r="AA6" s="138" t="s">
        <v>48</v>
      </c>
      <c r="AB6" s="138" t="s">
        <v>49</v>
      </c>
      <c r="AC6" s="138" t="s">
        <v>50</v>
      </c>
      <c r="AD6" s="138" t="s">
        <v>51</v>
      </c>
    </row>
    <row r="7" spans="1:30" s="226" customFormat="1" ht="142.5" x14ac:dyDescent="0.2">
      <c r="A7" s="425" t="s">
        <v>202</v>
      </c>
      <c r="B7" s="425" t="s">
        <v>53</v>
      </c>
      <c r="C7" s="514" t="s">
        <v>1252</v>
      </c>
      <c r="D7" s="514" t="s">
        <v>1253</v>
      </c>
      <c r="E7" s="514" t="s">
        <v>1254</v>
      </c>
      <c r="F7" s="478" t="s">
        <v>1255</v>
      </c>
      <c r="G7" s="514" t="s">
        <v>1256</v>
      </c>
      <c r="H7" s="515">
        <v>2</v>
      </c>
      <c r="I7" s="478" t="s">
        <v>1257</v>
      </c>
      <c r="J7" s="478" t="s">
        <v>130</v>
      </c>
      <c r="K7" s="478" t="s">
        <v>881</v>
      </c>
      <c r="L7" s="478" t="s">
        <v>1258</v>
      </c>
      <c r="M7" s="490">
        <v>44753</v>
      </c>
      <c r="N7" s="764">
        <v>45118</v>
      </c>
      <c r="O7" s="765">
        <f t="shared" ref="O7:O13" si="0">(N7-M7)/7</f>
        <v>52.142857142857146</v>
      </c>
      <c r="P7" s="140">
        <v>45657</v>
      </c>
      <c r="Q7" s="140">
        <v>45272</v>
      </c>
      <c r="R7" s="391">
        <f>(Q7-M7)/7-O7</f>
        <v>21.999999999999993</v>
      </c>
      <c r="S7" s="392" t="str">
        <f t="shared" ref="S7:S20" ca="1" si="1">IF((N7-TODAY())/7&gt;=0,"En tiempo","Alerta")</f>
        <v>Alerta</v>
      </c>
      <c r="T7" s="766">
        <v>2</v>
      </c>
      <c r="U7" s="393">
        <f>IF(T7/H7=1,1,+T7/H7)</f>
        <v>1</v>
      </c>
      <c r="V7" s="393">
        <f t="shared" ref="V7:V12" si="2">IF(R7&gt;O7,0%,IF(R7&lt;=0,"100%",1-(R7/O7)))</f>
        <v>0.5780821917808221</v>
      </c>
      <c r="W7" s="423" t="str">
        <f>IF(Q7&lt;=N7,"Cumple","Incumple")</f>
        <v>Incumple</v>
      </c>
      <c r="X7" s="773" t="s">
        <v>1259</v>
      </c>
      <c r="Y7" s="774" t="s">
        <v>1260</v>
      </c>
      <c r="Z7" s="141">
        <f t="shared" ref="Z7:Z20" si="3">(U7+V7)/2</f>
        <v>0.78904109589041105</v>
      </c>
      <c r="AA7" s="770">
        <v>1</v>
      </c>
      <c r="AB7" s="770">
        <v>0.5</v>
      </c>
      <c r="AC7" s="353">
        <f>AVERAGE(Z7:AB7)</f>
        <v>0.76301369863013713</v>
      </c>
      <c r="AD7" s="771" t="s">
        <v>3177</v>
      </c>
    </row>
    <row r="8" spans="1:30" s="226" customFormat="1" ht="142.5" x14ac:dyDescent="0.2">
      <c r="A8" s="425" t="s">
        <v>202</v>
      </c>
      <c r="B8" s="425" t="s">
        <v>53</v>
      </c>
      <c r="C8" s="514" t="s">
        <v>1252</v>
      </c>
      <c r="D8" s="514" t="s">
        <v>1253</v>
      </c>
      <c r="E8" s="514" t="s">
        <v>1254</v>
      </c>
      <c r="F8" s="478" t="s">
        <v>1261</v>
      </c>
      <c r="G8" s="514" t="s">
        <v>1256</v>
      </c>
      <c r="H8" s="515">
        <v>2</v>
      </c>
      <c r="I8" s="478" t="s">
        <v>1257</v>
      </c>
      <c r="J8" s="478" t="s">
        <v>130</v>
      </c>
      <c r="K8" s="478" t="s">
        <v>881</v>
      </c>
      <c r="L8" s="478" t="s">
        <v>1258</v>
      </c>
      <c r="M8" s="490">
        <v>44774</v>
      </c>
      <c r="N8" s="764">
        <v>45139</v>
      </c>
      <c r="O8" s="765">
        <f t="shared" si="0"/>
        <v>52.142857142857146</v>
      </c>
      <c r="P8" s="140">
        <v>45657</v>
      </c>
      <c r="Q8" s="140">
        <v>45107</v>
      </c>
      <c r="R8" s="391">
        <f>(Q8-M8)/7-O8</f>
        <v>-4.5714285714285765</v>
      </c>
      <c r="S8" s="392" t="str">
        <f t="shared" ca="1" si="1"/>
        <v>Alerta</v>
      </c>
      <c r="T8" s="766">
        <v>2</v>
      </c>
      <c r="U8" s="393">
        <f t="shared" ref="U8:U20" si="4">IF(T8/H8=1,1,+T8/H8)</f>
        <v>1</v>
      </c>
      <c r="V8" s="393" t="str">
        <f t="shared" si="2"/>
        <v>100%</v>
      </c>
      <c r="W8" s="423" t="str">
        <f t="shared" ref="W8:W20" si="5">IF(Q8&lt;=N8,"Cumple","Incumple")</f>
        <v>Cumple</v>
      </c>
      <c r="X8" s="775" t="s">
        <v>1262</v>
      </c>
      <c r="Y8" s="776" t="s">
        <v>1263</v>
      </c>
      <c r="Z8" s="141">
        <f t="shared" si="3"/>
        <v>1</v>
      </c>
      <c r="AA8" s="770">
        <v>1</v>
      </c>
      <c r="AB8" s="770">
        <v>0.5</v>
      </c>
      <c r="AC8" s="353">
        <f t="shared" ref="AC8:AC16" si="6">AVERAGE(Z8:AB8)</f>
        <v>0.83333333333333337</v>
      </c>
      <c r="AD8" s="771" t="s">
        <v>3178</v>
      </c>
    </row>
    <row r="9" spans="1:30" s="226" customFormat="1" ht="409.5" customHeight="1" x14ac:dyDescent="0.2">
      <c r="A9" s="425" t="s">
        <v>202</v>
      </c>
      <c r="B9" s="425" t="s">
        <v>53</v>
      </c>
      <c r="C9" s="514" t="s">
        <v>1264</v>
      </c>
      <c r="D9" s="514" t="s">
        <v>1265</v>
      </c>
      <c r="E9" s="514" t="s">
        <v>1254</v>
      </c>
      <c r="F9" s="514" t="s">
        <v>1266</v>
      </c>
      <c r="G9" s="514" t="s">
        <v>1267</v>
      </c>
      <c r="H9" s="515">
        <v>1</v>
      </c>
      <c r="I9" s="478" t="s">
        <v>1257</v>
      </c>
      <c r="J9" s="478" t="s">
        <v>865</v>
      </c>
      <c r="K9" s="478" t="s">
        <v>881</v>
      </c>
      <c r="L9" s="478" t="s">
        <v>1268</v>
      </c>
      <c r="M9" s="490">
        <v>44816</v>
      </c>
      <c r="N9" s="764">
        <v>45181</v>
      </c>
      <c r="O9" s="765">
        <f t="shared" si="0"/>
        <v>52.142857142857146</v>
      </c>
      <c r="P9" s="140">
        <v>45657</v>
      </c>
      <c r="Q9" s="140">
        <v>45272</v>
      </c>
      <c r="R9" s="391">
        <f>(Q9-M9)/7-O9</f>
        <v>12.999999999999993</v>
      </c>
      <c r="S9" s="392" t="str">
        <f t="shared" ca="1" si="1"/>
        <v>Alerta</v>
      </c>
      <c r="T9" s="766">
        <v>0.9</v>
      </c>
      <c r="U9" s="393">
        <f t="shared" si="4"/>
        <v>0.9</v>
      </c>
      <c r="V9" s="393">
        <f t="shared" si="2"/>
        <v>0.75068493150684945</v>
      </c>
      <c r="W9" s="423" t="str">
        <f>IF(Q9&lt;=N9,"Cumple","Incumple")</f>
        <v>Incumple</v>
      </c>
      <c r="X9" s="777" t="s">
        <v>3179</v>
      </c>
      <c r="Y9" s="778" t="s">
        <v>3180</v>
      </c>
      <c r="Z9" s="141">
        <f t="shared" si="3"/>
        <v>0.82534246575342474</v>
      </c>
      <c r="AA9" s="770">
        <v>1</v>
      </c>
      <c r="AB9" s="770">
        <v>0.25</v>
      </c>
      <c r="AC9" s="353">
        <f>AVERAGE(Z9:AB9)</f>
        <v>0.69178082191780821</v>
      </c>
      <c r="AD9" s="771" t="s">
        <v>1269</v>
      </c>
    </row>
    <row r="10" spans="1:30" s="226" customFormat="1" ht="90" x14ac:dyDescent="0.2">
      <c r="A10" s="425" t="s">
        <v>202</v>
      </c>
      <c r="B10" s="425" t="s">
        <v>53</v>
      </c>
      <c r="C10" s="514" t="s">
        <v>1264</v>
      </c>
      <c r="D10" s="514" t="s">
        <v>1265</v>
      </c>
      <c r="E10" s="514" t="s">
        <v>1254</v>
      </c>
      <c r="F10" s="514" t="s">
        <v>1270</v>
      </c>
      <c r="G10" s="514" t="s">
        <v>1271</v>
      </c>
      <c r="H10" s="515">
        <v>1</v>
      </c>
      <c r="I10" s="478" t="s">
        <v>1272</v>
      </c>
      <c r="J10" s="478" t="s">
        <v>865</v>
      </c>
      <c r="K10" s="478" t="s">
        <v>881</v>
      </c>
      <c r="L10" s="478" t="s">
        <v>1273</v>
      </c>
      <c r="M10" s="490">
        <v>44837</v>
      </c>
      <c r="N10" s="764">
        <v>45202</v>
      </c>
      <c r="O10" s="765">
        <f t="shared" si="0"/>
        <v>52.142857142857146</v>
      </c>
      <c r="P10" s="140">
        <v>45657</v>
      </c>
      <c r="Q10" s="140">
        <f t="shared" ref="Q10:Q15" si="7">P10</f>
        <v>45657</v>
      </c>
      <c r="R10" s="391">
        <f>(Q10-M10)/7-O10</f>
        <v>65</v>
      </c>
      <c r="S10" s="392" t="str">
        <f t="shared" ca="1" si="1"/>
        <v>Alerta</v>
      </c>
      <c r="T10" s="766">
        <v>0</v>
      </c>
      <c r="U10" s="393">
        <f t="shared" si="4"/>
        <v>0</v>
      </c>
      <c r="V10" s="393">
        <f t="shared" si="2"/>
        <v>0</v>
      </c>
      <c r="W10" s="423" t="str">
        <f t="shared" ref="W10:W15" si="8">IF(P10&lt;=N10,"Cumple","Incumple")</f>
        <v>Incumple</v>
      </c>
      <c r="X10" s="777" t="s">
        <v>1274</v>
      </c>
      <c r="Y10" s="778" t="s">
        <v>3181</v>
      </c>
      <c r="Z10" s="141">
        <f t="shared" si="3"/>
        <v>0</v>
      </c>
      <c r="AA10" s="770"/>
      <c r="AB10" s="770"/>
      <c r="AC10" s="353"/>
      <c r="AD10" s="771"/>
    </row>
    <row r="11" spans="1:30" s="226" customFormat="1" ht="120.75" customHeight="1" x14ac:dyDescent="0.2">
      <c r="A11" s="425" t="s">
        <v>202</v>
      </c>
      <c r="B11" s="425" t="s">
        <v>53</v>
      </c>
      <c r="C11" s="514" t="s">
        <v>1264</v>
      </c>
      <c r="D11" s="514" t="s">
        <v>1265</v>
      </c>
      <c r="E11" s="514" t="s">
        <v>1254</v>
      </c>
      <c r="F11" s="514" t="s">
        <v>1275</v>
      </c>
      <c r="G11" s="514" t="s">
        <v>1276</v>
      </c>
      <c r="H11" s="515">
        <v>1</v>
      </c>
      <c r="I11" s="478" t="s">
        <v>1277</v>
      </c>
      <c r="J11" s="478" t="s">
        <v>865</v>
      </c>
      <c r="K11" s="478" t="s">
        <v>881</v>
      </c>
      <c r="L11" s="478" t="s">
        <v>1278</v>
      </c>
      <c r="M11" s="490">
        <v>44866</v>
      </c>
      <c r="N11" s="764">
        <v>45234</v>
      </c>
      <c r="O11" s="765">
        <f t="shared" si="0"/>
        <v>52.571428571428569</v>
      </c>
      <c r="P11" s="140">
        <v>45657</v>
      </c>
      <c r="Q11" s="140">
        <f t="shared" si="7"/>
        <v>45657</v>
      </c>
      <c r="R11" s="391">
        <f t="shared" ref="R11:R17" si="9">(Q11-M11)/7-O11</f>
        <v>60.428571428571431</v>
      </c>
      <c r="S11" s="392" t="str">
        <f t="shared" ca="1" si="1"/>
        <v>Alerta</v>
      </c>
      <c r="T11" s="766">
        <v>0</v>
      </c>
      <c r="U11" s="393">
        <f t="shared" si="4"/>
        <v>0</v>
      </c>
      <c r="V11" s="393">
        <f t="shared" si="2"/>
        <v>0</v>
      </c>
      <c r="W11" s="423" t="str">
        <f>IF(P11&lt;=N11,"Cumple","Incumple")</f>
        <v>Incumple</v>
      </c>
      <c r="X11" s="777" t="s">
        <v>1279</v>
      </c>
      <c r="Y11" s="779" t="s">
        <v>1280</v>
      </c>
      <c r="Z11" s="141">
        <f t="shared" si="3"/>
        <v>0</v>
      </c>
      <c r="AA11" s="770"/>
      <c r="AB11" s="770"/>
      <c r="AC11" s="353"/>
      <c r="AD11" s="771"/>
    </row>
    <row r="12" spans="1:30" s="226" customFormat="1" ht="85.5" x14ac:dyDescent="0.2">
      <c r="A12" s="425" t="s">
        <v>202</v>
      </c>
      <c r="B12" s="425" t="s">
        <v>53</v>
      </c>
      <c r="C12" s="514" t="s">
        <v>1264</v>
      </c>
      <c r="D12" s="514" t="s">
        <v>1265</v>
      </c>
      <c r="E12" s="514" t="s">
        <v>1254</v>
      </c>
      <c r="F12" s="514" t="s">
        <v>1281</v>
      </c>
      <c r="G12" s="514" t="s">
        <v>1282</v>
      </c>
      <c r="H12" s="515">
        <v>1</v>
      </c>
      <c r="I12" s="478" t="s">
        <v>1283</v>
      </c>
      <c r="J12" s="478" t="s">
        <v>865</v>
      </c>
      <c r="K12" s="478" t="s">
        <v>881</v>
      </c>
      <c r="L12" s="478" t="s">
        <v>1284</v>
      </c>
      <c r="M12" s="490">
        <v>44873</v>
      </c>
      <c r="N12" s="764">
        <v>45245</v>
      </c>
      <c r="O12" s="765">
        <f t="shared" si="0"/>
        <v>53.142857142857146</v>
      </c>
      <c r="P12" s="140">
        <v>45657</v>
      </c>
      <c r="Q12" s="140">
        <f t="shared" si="7"/>
        <v>45657</v>
      </c>
      <c r="R12" s="391">
        <f t="shared" si="9"/>
        <v>58.857142857142854</v>
      </c>
      <c r="S12" s="392" t="str">
        <f t="shared" ca="1" si="1"/>
        <v>Alerta</v>
      </c>
      <c r="T12" s="766">
        <v>0</v>
      </c>
      <c r="U12" s="393">
        <f t="shared" si="4"/>
        <v>0</v>
      </c>
      <c r="V12" s="393">
        <f t="shared" si="2"/>
        <v>0</v>
      </c>
      <c r="W12" s="423" t="str">
        <f t="shared" si="8"/>
        <v>Incumple</v>
      </c>
      <c r="X12" s="777" t="s">
        <v>1279</v>
      </c>
      <c r="Y12" s="780" t="s">
        <v>1285</v>
      </c>
      <c r="Z12" s="141">
        <f t="shared" si="3"/>
        <v>0</v>
      </c>
      <c r="AA12" s="770"/>
      <c r="AB12" s="770"/>
      <c r="AC12" s="353"/>
      <c r="AD12" s="771"/>
    </row>
    <row r="13" spans="1:30" s="226" customFormat="1" ht="85.5" x14ac:dyDescent="0.2">
      <c r="A13" s="425" t="s">
        <v>202</v>
      </c>
      <c r="B13" s="425" t="s">
        <v>53</v>
      </c>
      <c r="C13" s="514" t="s">
        <v>1264</v>
      </c>
      <c r="D13" s="514" t="s">
        <v>1265</v>
      </c>
      <c r="E13" s="514" t="s">
        <v>1254</v>
      </c>
      <c r="F13" s="514" t="s">
        <v>1286</v>
      </c>
      <c r="G13" s="514" t="s">
        <v>1287</v>
      </c>
      <c r="H13" s="515">
        <v>1</v>
      </c>
      <c r="I13" s="478" t="s">
        <v>1288</v>
      </c>
      <c r="J13" s="478" t="s">
        <v>865</v>
      </c>
      <c r="K13" s="478" t="s">
        <v>881</v>
      </c>
      <c r="L13" s="478" t="s">
        <v>1289</v>
      </c>
      <c r="M13" s="490">
        <v>44880</v>
      </c>
      <c r="N13" s="764">
        <v>45245</v>
      </c>
      <c r="O13" s="765">
        <f t="shared" si="0"/>
        <v>52.142857142857146</v>
      </c>
      <c r="P13" s="140">
        <v>45657</v>
      </c>
      <c r="Q13" s="140">
        <f t="shared" si="7"/>
        <v>45657</v>
      </c>
      <c r="R13" s="391">
        <f t="shared" si="9"/>
        <v>58.857142857142854</v>
      </c>
      <c r="S13" s="392" t="str">
        <f t="shared" ca="1" si="1"/>
        <v>Alerta</v>
      </c>
      <c r="T13" s="766">
        <v>0</v>
      </c>
      <c r="U13" s="393">
        <f t="shared" si="4"/>
        <v>0</v>
      </c>
      <c r="V13" s="393">
        <f>IF(R12&gt;O12,0%,IF(R12&lt;=0,"100%",1-(R12/O12)))</f>
        <v>0</v>
      </c>
      <c r="W13" s="423" t="str">
        <f t="shared" si="8"/>
        <v>Incumple</v>
      </c>
      <c r="X13" s="777" t="s">
        <v>1279</v>
      </c>
      <c r="Y13" s="780" t="s">
        <v>1285</v>
      </c>
      <c r="Z13" s="141">
        <f t="shared" si="3"/>
        <v>0</v>
      </c>
      <c r="AA13" s="770"/>
      <c r="AB13" s="770"/>
      <c r="AC13" s="353"/>
      <c r="AD13" s="771"/>
    </row>
    <row r="14" spans="1:30" s="226" customFormat="1" ht="151.5" customHeight="1" x14ac:dyDescent="0.2">
      <c r="A14" s="425" t="s">
        <v>202</v>
      </c>
      <c r="B14" s="425" t="s">
        <v>53</v>
      </c>
      <c r="C14" s="514" t="s">
        <v>1290</v>
      </c>
      <c r="D14" s="514" t="s">
        <v>1291</v>
      </c>
      <c r="E14" s="514" t="s">
        <v>1292</v>
      </c>
      <c r="F14" s="514" t="s">
        <v>1293</v>
      </c>
      <c r="G14" s="514" t="s">
        <v>1294</v>
      </c>
      <c r="H14" s="515">
        <v>1</v>
      </c>
      <c r="I14" s="478" t="s">
        <v>1295</v>
      </c>
      <c r="J14" s="478" t="s">
        <v>865</v>
      </c>
      <c r="K14" s="478" t="s">
        <v>881</v>
      </c>
      <c r="L14" s="478" t="s">
        <v>1294</v>
      </c>
      <c r="M14" s="490">
        <v>44760</v>
      </c>
      <c r="N14" s="764">
        <v>45125</v>
      </c>
      <c r="O14" s="765">
        <f t="shared" ref="O14:O20" si="10">(N14-M14)/7</f>
        <v>52.142857142857146</v>
      </c>
      <c r="P14" s="140">
        <v>45657</v>
      </c>
      <c r="Q14" s="140">
        <f t="shared" si="7"/>
        <v>45657</v>
      </c>
      <c r="R14" s="391">
        <f t="shared" si="9"/>
        <v>76</v>
      </c>
      <c r="S14" s="392" t="str">
        <f t="shared" ca="1" si="1"/>
        <v>Alerta</v>
      </c>
      <c r="T14" s="767">
        <v>0.4</v>
      </c>
      <c r="U14" s="393">
        <f t="shared" si="4"/>
        <v>0.4</v>
      </c>
      <c r="V14" s="393">
        <f t="shared" ref="V14:V20" si="11">IF(R14&gt;O14,0%,IF(R14&lt;=0,"100%",1-(R14/O14)))</f>
        <v>0</v>
      </c>
      <c r="W14" s="423" t="str">
        <f t="shared" si="8"/>
        <v>Incumple</v>
      </c>
      <c r="X14" s="777" t="s">
        <v>1296</v>
      </c>
      <c r="Y14" s="781" t="s">
        <v>1285</v>
      </c>
      <c r="Z14" s="141">
        <f t="shared" si="3"/>
        <v>0.2</v>
      </c>
      <c r="AA14" s="770"/>
      <c r="AB14" s="770"/>
      <c r="AC14" s="353"/>
      <c r="AD14" s="771"/>
    </row>
    <row r="15" spans="1:30" s="226" customFormat="1" ht="154.5" customHeight="1" x14ac:dyDescent="0.2">
      <c r="A15" s="425" t="s">
        <v>202</v>
      </c>
      <c r="B15" s="425" t="s">
        <v>53</v>
      </c>
      <c r="C15" s="514" t="s">
        <v>1297</v>
      </c>
      <c r="D15" s="514" t="s">
        <v>1298</v>
      </c>
      <c r="E15" s="514" t="s">
        <v>1299</v>
      </c>
      <c r="F15" s="514" t="s">
        <v>1300</v>
      </c>
      <c r="G15" s="514" t="s">
        <v>1301</v>
      </c>
      <c r="H15" s="515">
        <v>4</v>
      </c>
      <c r="I15" s="478" t="s">
        <v>1295</v>
      </c>
      <c r="J15" s="478" t="s">
        <v>865</v>
      </c>
      <c r="K15" s="478" t="s">
        <v>215</v>
      </c>
      <c r="L15" s="478" t="s">
        <v>1301</v>
      </c>
      <c r="M15" s="490">
        <v>44805</v>
      </c>
      <c r="N15" s="764">
        <v>45170</v>
      </c>
      <c r="O15" s="765">
        <f t="shared" si="10"/>
        <v>52.142857142857146</v>
      </c>
      <c r="P15" s="140">
        <v>45657</v>
      </c>
      <c r="Q15" s="140">
        <f t="shared" si="7"/>
        <v>45657</v>
      </c>
      <c r="R15" s="391">
        <f t="shared" si="9"/>
        <v>69.571428571428555</v>
      </c>
      <c r="S15" s="392" t="str">
        <f t="shared" ca="1" si="1"/>
        <v>Alerta</v>
      </c>
      <c r="T15" s="768">
        <v>3</v>
      </c>
      <c r="U15" s="393">
        <f t="shared" si="4"/>
        <v>0.75</v>
      </c>
      <c r="V15" s="393">
        <f t="shared" si="11"/>
        <v>0</v>
      </c>
      <c r="W15" s="423" t="str">
        <f t="shared" si="8"/>
        <v>Incumple</v>
      </c>
      <c r="X15" s="777" t="s">
        <v>1302</v>
      </c>
      <c r="Y15" s="778" t="s">
        <v>1303</v>
      </c>
      <c r="Z15" s="141">
        <f t="shared" si="3"/>
        <v>0.375</v>
      </c>
      <c r="AA15" s="770"/>
      <c r="AB15" s="770"/>
      <c r="AC15" s="353"/>
      <c r="AD15" s="771"/>
    </row>
    <row r="16" spans="1:30" s="226" customFormat="1" ht="135" x14ac:dyDescent="0.2">
      <c r="A16" s="425" t="s">
        <v>202</v>
      </c>
      <c r="B16" s="425" t="s">
        <v>53</v>
      </c>
      <c r="C16" s="514" t="s">
        <v>1304</v>
      </c>
      <c r="D16" s="514" t="s">
        <v>1305</v>
      </c>
      <c r="E16" s="514" t="s">
        <v>1306</v>
      </c>
      <c r="F16" s="478" t="s">
        <v>1307</v>
      </c>
      <c r="G16" s="514" t="s">
        <v>1308</v>
      </c>
      <c r="H16" s="516">
        <v>1</v>
      </c>
      <c r="I16" s="478" t="s">
        <v>1309</v>
      </c>
      <c r="J16" s="478" t="s">
        <v>865</v>
      </c>
      <c r="K16" s="478" t="s">
        <v>881</v>
      </c>
      <c r="L16" s="478" t="s">
        <v>1310</v>
      </c>
      <c r="M16" s="490">
        <v>44774</v>
      </c>
      <c r="N16" s="764">
        <v>45143</v>
      </c>
      <c r="O16" s="765">
        <f t="shared" si="10"/>
        <v>52.714285714285715</v>
      </c>
      <c r="P16" s="140">
        <v>45657</v>
      </c>
      <c r="Q16" s="140">
        <v>45107</v>
      </c>
      <c r="R16" s="391">
        <f t="shared" si="9"/>
        <v>-5.1428571428571459</v>
      </c>
      <c r="S16" s="392" t="str">
        <f t="shared" ca="1" si="1"/>
        <v>Alerta</v>
      </c>
      <c r="T16" s="768">
        <v>1</v>
      </c>
      <c r="U16" s="393">
        <f t="shared" si="4"/>
        <v>1</v>
      </c>
      <c r="V16" s="393" t="str">
        <f t="shared" si="11"/>
        <v>100%</v>
      </c>
      <c r="W16" s="423" t="str">
        <f t="shared" si="5"/>
        <v>Cumple</v>
      </c>
      <c r="X16" s="775" t="s">
        <v>1311</v>
      </c>
      <c r="Y16" s="776" t="s">
        <v>3182</v>
      </c>
      <c r="Z16" s="141">
        <f t="shared" si="3"/>
        <v>1</v>
      </c>
      <c r="AA16" s="770">
        <v>0.5</v>
      </c>
      <c r="AB16" s="770">
        <v>0.25</v>
      </c>
      <c r="AC16" s="353">
        <f t="shared" si="6"/>
        <v>0.58333333333333337</v>
      </c>
      <c r="AD16" s="771" t="s">
        <v>1312</v>
      </c>
    </row>
    <row r="17" spans="1:30" s="226" customFormat="1" ht="157.5" customHeight="1" x14ac:dyDescent="0.2">
      <c r="A17" s="425" t="s">
        <v>202</v>
      </c>
      <c r="B17" s="425" t="s">
        <v>53</v>
      </c>
      <c r="C17" s="514" t="s">
        <v>1304</v>
      </c>
      <c r="D17" s="514" t="s">
        <v>1305</v>
      </c>
      <c r="E17" s="514" t="s">
        <v>1306</v>
      </c>
      <c r="F17" s="478" t="s">
        <v>1313</v>
      </c>
      <c r="G17" s="514" t="s">
        <v>1314</v>
      </c>
      <c r="H17" s="515">
        <v>1</v>
      </c>
      <c r="I17" s="478" t="s">
        <v>1309</v>
      </c>
      <c r="J17" s="478" t="s">
        <v>865</v>
      </c>
      <c r="K17" s="478" t="s">
        <v>881</v>
      </c>
      <c r="L17" s="478" t="s">
        <v>1315</v>
      </c>
      <c r="M17" s="490">
        <v>44760</v>
      </c>
      <c r="N17" s="764">
        <v>45125</v>
      </c>
      <c r="O17" s="765">
        <f t="shared" si="10"/>
        <v>52.142857142857146</v>
      </c>
      <c r="P17" s="140">
        <v>45657</v>
      </c>
      <c r="Q17" s="140">
        <f>P17</f>
        <v>45657</v>
      </c>
      <c r="R17" s="391">
        <f t="shared" si="9"/>
        <v>76</v>
      </c>
      <c r="S17" s="392" t="str">
        <f t="shared" ca="1" si="1"/>
        <v>Alerta</v>
      </c>
      <c r="T17" s="768">
        <v>0</v>
      </c>
      <c r="U17" s="393">
        <f t="shared" si="4"/>
        <v>0</v>
      </c>
      <c r="V17" s="393">
        <f t="shared" si="11"/>
        <v>0</v>
      </c>
      <c r="W17" s="423" t="str">
        <f>IF(P17&lt;=N17,"Cumple","Incumple")</f>
        <v>Incumple</v>
      </c>
      <c r="X17" s="777" t="s">
        <v>1316</v>
      </c>
      <c r="Y17" s="778" t="s">
        <v>3183</v>
      </c>
      <c r="Z17" s="141">
        <f t="shared" si="3"/>
        <v>0</v>
      </c>
      <c r="AA17" s="770"/>
      <c r="AB17" s="770"/>
      <c r="AC17" s="353"/>
      <c r="AD17" s="771"/>
    </row>
    <row r="18" spans="1:30" s="226" customFormat="1" ht="129" customHeight="1" x14ac:dyDescent="0.2">
      <c r="A18" s="425" t="s">
        <v>202</v>
      </c>
      <c r="B18" s="425" t="s">
        <v>53</v>
      </c>
      <c r="C18" s="514" t="s">
        <v>1317</v>
      </c>
      <c r="D18" s="514" t="s">
        <v>1318</v>
      </c>
      <c r="E18" s="514" t="s">
        <v>1319</v>
      </c>
      <c r="F18" s="514" t="s">
        <v>1320</v>
      </c>
      <c r="G18" s="514" t="s">
        <v>1321</v>
      </c>
      <c r="H18" s="514">
        <v>1</v>
      </c>
      <c r="I18" s="478" t="s">
        <v>1322</v>
      </c>
      <c r="J18" s="478" t="s">
        <v>60</v>
      </c>
      <c r="K18" s="478" t="s">
        <v>61</v>
      </c>
      <c r="L18" s="478" t="s">
        <v>1323</v>
      </c>
      <c r="M18" s="490">
        <v>44852</v>
      </c>
      <c r="N18" s="764">
        <v>45217</v>
      </c>
      <c r="O18" s="765">
        <f t="shared" si="10"/>
        <v>52.142857142857146</v>
      </c>
      <c r="P18" s="140">
        <v>45657</v>
      </c>
      <c r="Q18" s="140">
        <f>P18</f>
        <v>45657</v>
      </c>
      <c r="R18" s="391">
        <f>(Q18-M18)/7-O18</f>
        <v>62.857142857142854</v>
      </c>
      <c r="S18" s="392" t="str">
        <f t="shared" ca="1" si="1"/>
        <v>Alerta</v>
      </c>
      <c r="T18" s="769">
        <v>1</v>
      </c>
      <c r="U18" s="393">
        <f t="shared" si="4"/>
        <v>1</v>
      </c>
      <c r="V18" s="393">
        <f t="shared" si="11"/>
        <v>0</v>
      </c>
      <c r="W18" s="423" t="str">
        <f>IF(P18&lt;=N18,"Cumple","Incumple")</f>
        <v>Incumple</v>
      </c>
      <c r="X18" s="775" t="s">
        <v>3187</v>
      </c>
      <c r="Y18" s="776" t="s">
        <v>1324</v>
      </c>
      <c r="Z18" s="141">
        <f t="shared" si="3"/>
        <v>0.5</v>
      </c>
      <c r="AA18" s="770">
        <v>0.25</v>
      </c>
      <c r="AB18" s="770">
        <v>1</v>
      </c>
      <c r="AC18" s="353">
        <f>AVERAGE(Z18:AB18)</f>
        <v>0.58333333333333337</v>
      </c>
      <c r="AD18" s="772" t="s">
        <v>3184</v>
      </c>
    </row>
    <row r="19" spans="1:30" s="226" customFormat="1" ht="255" x14ac:dyDescent="0.2">
      <c r="A19" s="425" t="s">
        <v>202</v>
      </c>
      <c r="B19" s="425" t="s">
        <v>53</v>
      </c>
      <c r="C19" s="514" t="s">
        <v>1325</v>
      </c>
      <c r="D19" s="514" t="s">
        <v>1326</v>
      </c>
      <c r="E19" s="478" t="s">
        <v>1327</v>
      </c>
      <c r="F19" s="478" t="s">
        <v>1328</v>
      </c>
      <c r="G19" s="478" t="s">
        <v>1329</v>
      </c>
      <c r="H19" s="516">
        <v>1</v>
      </c>
      <c r="I19" s="478" t="s">
        <v>1330</v>
      </c>
      <c r="J19" s="478" t="s">
        <v>865</v>
      </c>
      <c r="K19" s="478" t="s">
        <v>881</v>
      </c>
      <c r="L19" s="478" t="s">
        <v>1331</v>
      </c>
      <c r="M19" s="490">
        <v>44874</v>
      </c>
      <c r="N19" s="764">
        <v>45239</v>
      </c>
      <c r="O19" s="765">
        <f t="shared" si="10"/>
        <v>52.142857142857146</v>
      </c>
      <c r="P19" s="140">
        <v>45272</v>
      </c>
      <c r="Q19" s="140">
        <f>P19</f>
        <v>45272</v>
      </c>
      <c r="R19" s="391">
        <f>(Q19-M19)/7-O19</f>
        <v>4.7142857142857082</v>
      </c>
      <c r="S19" s="392" t="str">
        <f t="shared" ca="1" si="1"/>
        <v>Alerta</v>
      </c>
      <c r="T19" s="768">
        <v>0.3</v>
      </c>
      <c r="U19" s="393">
        <f t="shared" si="4"/>
        <v>0.3</v>
      </c>
      <c r="V19" s="393">
        <f t="shared" si="11"/>
        <v>0.90958904109589056</v>
      </c>
      <c r="W19" s="423" t="str">
        <f t="shared" si="5"/>
        <v>Incumple</v>
      </c>
      <c r="X19" s="777" t="s">
        <v>3185</v>
      </c>
      <c r="Y19" s="778" t="s">
        <v>1332</v>
      </c>
      <c r="Z19" s="141">
        <f t="shared" si="3"/>
        <v>0.60479452054794525</v>
      </c>
      <c r="AA19" s="770"/>
      <c r="AB19" s="770"/>
      <c r="AC19" s="353"/>
      <c r="AD19" s="771"/>
    </row>
    <row r="20" spans="1:30" s="226" customFormat="1" ht="150" x14ac:dyDescent="0.2">
      <c r="A20" s="425" t="s">
        <v>202</v>
      </c>
      <c r="B20" s="425" t="s">
        <v>53</v>
      </c>
      <c r="C20" s="514" t="s">
        <v>1325</v>
      </c>
      <c r="D20" s="514" t="s">
        <v>1326</v>
      </c>
      <c r="E20" s="478" t="s">
        <v>1327</v>
      </c>
      <c r="F20" s="478" t="s">
        <v>1333</v>
      </c>
      <c r="G20" s="514" t="s">
        <v>1334</v>
      </c>
      <c r="H20" s="516">
        <v>1</v>
      </c>
      <c r="I20" s="478" t="s">
        <v>1330</v>
      </c>
      <c r="J20" s="478" t="s">
        <v>865</v>
      </c>
      <c r="K20" s="478" t="s">
        <v>881</v>
      </c>
      <c r="L20" s="478" t="s">
        <v>1335</v>
      </c>
      <c r="M20" s="490">
        <v>44880</v>
      </c>
      <c r="N20" s="764">
        <v>45245</v>
      </c>
      <c r="O20" s="765">
        <f t="shared" si="10"/>
        <v>52.142857142857146</v>
      </c>
      <c r="P20" s="140">
        <v>45272</v>
      </c>
      <c r="Q20" s="140">
        <f>P20</f>
        <v>45272</v>
      </c>
      <c r="R20" s="391">
        <f>(Q20-M20)/7-O20</f>
        <v>3.8571428571428541</v>
      </c>
      <c r="S20" s="392" t="str">
        <f t="shared" ca="1" si="1"/>
        <v>Alerta</v>
      </c>
      <c r="T20" s="768">
        <v>0.3</v>
      </c>
      <c r="U20" s="393">
        <f t="shared" si="4"/>
        <v>0.3</v>
      </c>
      <c r="V20" s="393">
        <f t="shared" si="11"/>
        <v>0.92602739726027405</v>
      </c>
      <c r="W20" s="423" t="str">
        <f t="shared" si="5"/>
        <v>Incumple</v>
      </c>
      <c r="X20" s="777" t="s">
        <v>3186</v>
      </c>
      <c r="Y20" s="778" t="s">
        <v>1332</v>
      </c>
      <c r="Z20" s="141">
        <f t="shared" si="3"/>
        <v>0.61301369863013699</v>
      </c>
      <c r="AA20" s="770"/>
      <c r="AB20" s="770"/>
      <c r="AC20" s="353"/>
      <c r="AD20" s="771"/>
    </row>
    <row r="21" spans="1:30" ht="15" x14ac:dyDescent="0.2">
      <c r="G21" s="134" t="s">
        <v>314</v>
      </c>
      <c r="H21" s="145">
        <f>SUM(H7:H20)</f>
        <v>19</v>
      </c>
      <c r="R21" s="979" t="s">
        <v>195</v>
      </c>
      <c r="S21" s="979"/>
      <c r="T21" s="144">
        <f>SUM(T7:T19)</f>
        <v>10.600000000000001</v>
      </c>
      <c r="U21" s="141">
        <f>AVERAGE(U7:U20)</f>
        <v>0.47499999999999998</v>
      </c>
      <c r="V21" s="60"/>
      <c r="W21" s="142">
        <f>(COUNTIF(W7:W20,"Cumple")*100%)/COUNTA(W7:W20)</f>
        <v>0.14285714285714285</v>
      </c>
      <c r="AA21" s="979" t="s">
        <v>195</v>
      </c>
      <c r="AB21" s="979"/>
      <c r="AC21" s="142">
        <f>AVERAGE(AC7:AC20)</f>
        <v>0.69095890410958916</v>
      </c>
    </row>
  </sheetData>
  <autoFilter ref="A6:AW21" xr:uid="{DB022A3F-F700-47BC-93EA-071391DAE722}"/>
  <mergeCells count="29">
    <mergeCell ref="Z5:AD5"/>
    <mergeCell ref="W3:X3"/>
    <mergeCell ref="A1:B1"/>
    <mergeCell ref="C1:N1"/>
    <mergeCell ref="A2:B2"/>
    <mergeCell ref="C2:F2"/>
    <mergeCell ref="G2:H2"/>
    <mergeCell ref="I2:N2"/>
    <mergeCell ref="T4:U4"/>
    <mergeCell ref="V4:Y4"/>
    <mergeCell ref="A4:B4"/>
    <mergeCell ref="C4:F4"/>
    <mergeCell ref="G4:H4"/>
    <mergeCell ref="AA21:AB21"/>
    <mergeCell ref="R21:S21"/>
    <mergeCell ref="O1:P2"/>
    <mergeCell ref="Q1:Y2"/>
    <mergeCell ref="A3:B3"/>
    <mergeCell ref="C3:F3"/>
    <mergeCell ref="G3:H3"/>
    <mergeCell ref="I4:N4"/>
    <mergeCell ref="O4:P4"/>
    <mergeCell ref="Q4:S4"/>
    <mergeCell ref="I3:N3"/>
    <mergeCell ref="O3:P3"/>
    <mergeCell ref="Q3:V3"/>
    <mergeCell ref="Z1:AD4"/>
    <mergeCell ref="A5:N5"/>
    <mergeCell ref="O5:Y5"/>
  </mergeCells>
  <conditionalFormatting sqref="R7:R20">
    <cfRule type="cellIs" dxfId="231" priority="1" operator="greaterThan">
      <formula>0</formula>
    </cfRule>
    <cfRule type="cellIs" dxfId="230" priority="2" operator="lessThan">
      <formula>0</formula>
    </cfRule>
  </conditionalFormatting>
  <conditionalFormatting sqref="S7:S20">
    <cfRule type="containsText" dxfId="229" priority="24" operator="containsText" text="Alerta">
      <formula>NOT(ISERROR(SEARCH("Alerta",S7)))</formula>
    </cfRule>
    <cfRule type="containsText" dxfId="228" priority="25" operator="containsText" text="En tiempo">
      <formula>NOT(ISERROR(SEARCH("En tiempo",S7)))</formula>
    </cfRule>
  </conditionalFormatting>
  <conditionalFormatting sqref="U7:V7 Z7:Z20 V8:V11 U8:U21 V13:V20">
    <cfRule type="cellIs" dxfId="227" priority="18" operator="between">
      <formula>0.29</formula>
      <formula>0</formula>
    </cfRule>
    <cfRule type="cellIs" dxfId="226" priority="19" operator="between">
      <formula>0.49</formula>
      <formula>0.3</formula>
    </cfRule>
    <cfRule type="cellIs" dxfId="225" priority="20" operator="between">
      <formula>0.79</formula>
      <formula>0.5</formula>
    </cfRule>
    <cfRule type="cellIs" dxfId="224" priority="21" operator="between">
      <formula>1</formula>
      <formula>0.8</formula>
    </cfRule>
  </conditionalFormatting>
  <conditionalFormatting sqref="V12">
    <cfRule type="cellIs" dxfId="223" priority="3" operator="between">
      <formula>0.19</formula>
      <formula>0</formula>
    </cfRule>
    <cfRule type="cellIs" dxfId="222" priority="4" operator="between">
      <formula>0.49</formula>
      <formula>0.2</formula>
    </cfRule>
    <cfRule type="cellIs" dxfId="221" priority="5" operator="between">
      <formula>0.89</formula>
      <formula>0.5</formula>
    </cfRule>
    <cfRule type="cellIs" dxfId="220" priority="6" operator="between">
      <formula>1</formula>
      <formula>0.9</formula>
    </cfRule>
  </conditionalFormatting>
  <conditionalFormatting sqref="W7:W20">
    <cfRule type="containsText" dxfId="219" priority="22" operator="containsText" text="Incumple">
      <formula>NOT(ISERROR(SEARCH("Incumple",W7)))</formula>
    </cfRule>
    <cfRule type="containsText" dxfId="218" priority="23" operator="containsText" text="Cumple">
      <formula>NOT(ISERROR(SEARCH("Cumple",W7)))</formula>
    </cfRule>
  </conditionalFormatting>
  <conditionalFormatting sqref="W21">
    <cfRule type="cellIs" dxfId="217" priority="10" operator="between">
      <formula>0.19</formula>
      <formula>0</formula>
    </cfRule>
    <cfRule type="cellIs" dxfId="216" priority="11" operator="between">
      <formula>0.49</formula>
      <formula>0.2</formula>
    </cfRule>
    <cfRule type="cellIs" dxfId="215" priority="12" operator="between">
      <formula>0.89</formula>
      <formula>0.5</formula>
    </cfRule>
    <cfRule type="cellIs" dxfId="214" priority="13" operator="between">
      <formula>1</formula>
      <formula>0.9</formula>
    </cfRule>
  </conditionalFormatting>
  <conditionalFormatting sqref="AC7:AC21">
    <cfRule type="cellIs" dxfId="213" priority="7" operator="between">
      <formula>0.3</formula>
      <formula>0</formula>
    </cfRule>
    <cfRule type="cellIs" dxfId="212" priority="8" operator="between">
      <formula>0.6999</formula>
      <formula>0.3111</formula>
    </cfRule>
    <cfRule type="cellIs" dxfId="211" priority="9" operator="between">
      <formula>1</formula>
      <formula>0.7</formula>
    </cfRule>
  </conditionalFormatting>
  <dataValidations count="5">
    <dataValidation type="list" allowBlank="1" showInputMessage="1" showErrorMessage="1" sqref="B7:B20" xr:uid="{C317372F-A6E5-42C5-9455-D9F6CE1A9651}">
      <formula1>$AV$5:$AV$14</formula1>
    </dataValidation>
    <dataValidation type="list" allowBlank="1" showInputMessage="1" showErrorMessage="1" sqref="A7:A20" xr:uid="{8962E718-A105-4227-9609-8B04DA87812D}">
      <formula1>$AP$4:$AP$16</formula1>
    </dataValidation>
    <dataValidation type="list" allowBlank="1" showInputMessage="1" showErrorMessage="1" sqref="J16:J20 J7:J13" xr:uid="{CD6A91A9-0EEE-42EF-9250-DB6E2D53970B}">
      <formula1>$AR$4:$AR$16</formula1>
    </dataValidation>
    <dataValidation type="list" allowBlank="1" showInputMessage="1" showErrorMessage="1" sqref="K7:K20" xr:uid="{23F20EC3-1846-4070-9662-DA04BE2BB721}">
      <formula1>$AS$4:$AS$16</formula1>
    </dataValidation>
    <dataValidation type="list" allowBlank="1" showInputMessage="1" showErrorMessage="1" errorTitle="Estado" error="No es un estado de los Planes de Mejoramiento" sqref="Q4:S4" xr:uid="{5471CC64-BA01-4825-AFA5-771FE9BA1ECB}">
      <formula1>$AW$4:$AW$7</formula1>
    </dataValidation>
  </dataValidation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9CF82-E482-43BB-8BDA-5AEB66225312}">
  <sheetPr>
    <tabColor theme="0"/>
  </sheetPr>
  <dimension ref="A1:AV15"/>
  <sheetViews>
    <sheetView topLeftCell="P1" zoomScale="86" zoomScaleNormal="86" workbookViewId="0">
      <selection activeCell="X7" sqref="X7"/>
    </sheetView>
  </sheetViews>
  <sheetFormatPr baseColWidth="10" defaultColWidth="17.5703125" defaultRowHeight="12.75" x14ac:dyDescent="0.2"/>
  <cols>
    <col min="1" max="1" width="12.140625" style="53" customWidth="1"/>
    <col min="2" max="2" width="12.85546875" style="53" customWidth="1"/>
    <col min="3" max="3" width="37" style="53" customWidth="1"/>
    <col min="4" max="4" width="32.85546875" style="53" customWidth="1"/>
    <col min="5" max="5" width="36.7109375" style="53" customWidth="1"/>
    <col min="6" max="6" width="42.42578125" style="53" customWidth="1"/>
    <col min="7" max="7" width="32.85546875" style="53" customWidth="1"/>
    <col min="8" max="8" width="13" style="53" customWidth="1"/>
    <col min="9" max="9" width="26.5703125" style="53" customWidth="1"/>
    <col min="10" max="10" width="16.140625" style="53" customWidth="1"/>
    <col min="11" max="11" width="21.42578125" style="53" customWidth="1"/>
    <col min="12" max="12" width="20.5703125" style="53" customWidth="1"/>
    <col min="13" max="14" width="16.28515625" style="53" customWidth="1"/>
    <col min="15" max="15" width="12" style="53" customWidth="1"/>
    <col min="16" max="16" width="21.7109375" style="53" customWidth="1"/>
    <col min="17" max="17" width="23.42578125" style="53" customWidth="1"/>
    <col min="18" max="18" width="11.5703125" style="53" customWidth="1"/>
    <col min="19" max="19" width="11.140625" style="53" customWidth="1"/>
    <col min="20" max="20" width="15" style="53" customWidth="1"/>
    <col min="21" max="21" width="16.5703125" style="53" customWidth="1"/>
    <col min="22" max="22" width="14.28515625" style="53" customWidth="1"/>
    <col min="23" max="23" width="16.7109375" style="53" customWidth="1"/>
    <col min="24" max="24" width="114.5703125" style="53" customWidth="1"/>
    <col min="25" max="25" width="103.28515625" style="53" customWidth="1"/>
    <col min="26" max="26" width="12.28515625" style="53" customWidth="1"/>
    <col min="27" max="27" width="13.42578125" style="53" customWidth="1"/>
    <col min="28" max="28" width="14.140625" style="53" customWidth="1"/>
    <col min="29" max="29" width="12.5703125" style="53" customWidth="1"/>
    <col min="30" max="30" width="72.42578125" style="53" customWidth="1"/>
    <col min="31" max="41" width="9.140625"/>
    <col min="42" max="42" width="28.5703125" hidden="1" customWidth="1"/>
    <col min="43" max="43" width="42" hidden="1" customWidth="1"/>
    <col min="44" max="44" width="0" hidden="1" customWidth="1"/>
    <col min="45" max="45" width="51.42578125" hidden="1" customWidth="1"/>
    <col min="46" max="46" width="8.5703125" hidden="1" customWidth="1"/>
    <col min="47" max="47" width="7.140625" hidden="1" customWidth="1"/>
    <col min="48" max="48" width="20.85546875" hidden="1" customWidth="1"/>
    <col min="49" max="49" width="0" hidden="1" customWidth="1"/>
    <col min="50" max="50" width="22.42578125" customWidth="1"/>
  </cols>
  <sheetData>
    <row r="1" spans="1:30" ht="105.75" customHeight="1" thickBot="1" x14ac:dyDescent="0.25">
      <c r="A1" s="858" t="s">
        <v>0</v>
      </c>
      <c r="B1" s="858"/>
      <c r="C1" s="858" t="s">
        <v>1</v>
      </c>
      <c r="D1" s="858"/>
      <c r="E1" s="858"/>
      <c r="F1" s="858"/>
      <c r="G1" s="858"/>
      <c r="H1" s="858"/>
      <c r="I1" s="858"/>
      <c r="J1" s="858"/>
      <c r="K1" s="858"/>
      <c r="L1" s="858"/>
      <c r="M1" s="858"/>
      <c r="N1" s="858"/>
      <c r="O1" s="858"/>
      <c r="P1" s="858"/>
      <c r="Q1" s="858" t="s">
        <v>2</v>
      </c>
      <c r="R1" s="858"/>
      <c r="S1" s="858"/>
      <c r="T1" s="858"/>
      <c r="U1" s="858"/>
      <c r="V1" s="858"/>
      <c r="W1" s="858"/>
      <c r="X1" s="858"/>
      <c r="Y1" s="858"/>
      <c r="Z1" s="858" t="s">
        <v>2</v>
      </c>
      <c r="AA1" s="858"/>
      <c r="AB1" s="858"/>
      <c r="AC1" s="858"/>
      <c r="AD1" s="858"/>
    </row>
    <row r="2" spans="1:30" ht="24.75" customHeight="1" thickBot="1" x14ac:dyDescent="0.25">
      <c r="A2" s="858" t="s">
        <v>197</v>
      </c>
      <c r="B2" s="858"/>
      <c r="C2" s="858" t="s">
        <v>4</v>
      </c>
      <c r="D2" s="862"/>
      <c r="E2" s="862"/>
      <c r="F2" s="862"/>
      <c r="G2" s="858" t="s">
        <v>5</v>
      </c>
      <c r="H2" s="858"/>
      <c r="I2" s="858" t="s">
        <v>6</v>
      </c>
      <c r="J2" s="858"/>
      <c r="K2" s="858"/>
      <c r="L2" s="858"/>
      <c r="M2" s="858"/>
      <c r="N2" s="858"/>
      <c r="O2" s="858"/>
      <c r="P2" s="858"/>
      <c r="Q2" s="858"/>
      <c r="R2" s="858"/>
      <c r="S2" s="858"/>
      <c r="T2" s="858"/>
      <c r="U2" s="858"/>
      <c r="V2" s="858"/>
      <c r="W2" s="858"/>
      <c r="X2" s="858"/>
      <c r="Y2" s="858"/>
      <c r="Z2" s="858"/>
      <c r="AA2" s="858"/>
      <c r="AB2" s="858"/>
      <c r="AC2" s="858"/>
      <c r="AD2" s="858"/>
    </row>
    <row r="3" spans="1:30" ht="28.5" customHeight="1" x14ac:dyDescent="0.2">
      <c r="A3" s="857" t="s">
        <v>7</v>
      </c>
      <c r="B3" s="857"/>
      <c r="C3" s="858" t="s">
        <v>1336</v>
      </c>
      <c r="D3" s="858"/>
      <c r="E3" s="858"/>
      <c r="F3" s="858"/>
      <c r="G3" s="857" t="s">
        <v>9</v>
      </c>
      <c r="H3" s="857"/>
      <c r="I3" s="860" t="s">
        <v>1337</v>
      </c>
      <c r="J3" s="858"/>
      <c r="K3" s="858"/>
      <c r="L3" s="858"/>
      <c r="M3" s="858"/>
      <c r="N3" s="858"/>
      <c r="O3" s="857" t="s">
        <v>10</v>
      </c>
      <c r="P3" s="857"/>
      <c r="Q3" s="860">
        <v>45679</v>
      </c>
      <c r="R3" s="860"/>
      <c r="S3" s="860"/>
      <c r="T3" s="860"/>
      <c r="U3" s="860"/>
      <c r="V3" s="860"/>
      <c r="W3" s="132"/>
      <c r="X3" s="133" t="s">
        <v>11</v>
      </c>
      <c r="Y3" s="151" t="s">
        <v>1248</v>
      </c>
      <c r="Z3" s="858"/>
      <c r="AA3" s="858"/>
      <c r="AB3" s="858"/>
      <c r="AC3" s="858"/>
      <c r="AD3" s="858"/>
    </row>
    <row r="4" spans="1:30" ht="35.25" customHeight="1" x14ac:dyDescent="0.2">
      <c r="A4" s="857" t="s">
        <v>13</v>
      </c>
      <c r="B4" s="857"/>
      <c r="C4" s="858" t="s">
        <v>1338</v>
      </c>
      <c r="D4" s="858"/>
      <c r="E4" s="858"/>
      <c r="F4" s="858"/>
      <c r="G4" s="857" t="s">
        <v>15</v>
      </c>
      <c r="H4" s="857"/>
      <c r="I4" s="860" t="s">
        <v>1339</v>
      </c>
      <c r="J4" s="860"/>
      <c r="K4" s="860"/>
      <c r="L4" s="860"/>
      <c r="M4" s="860"/>
      <c r="N4" s="860"/>
      <c r="O4" s="857" t="s">
        <v>16</v>
      </c>
      <c r="P4" s="857"/>
      <c r="Q4" s="858" t="s">
        <v>491</v>
      </c>
      <c r="R4" s="858"/>
      <c r="S4" s="858"/>
      <c r="T4" s="857" t="s">
        <v>18</v>
      </c>
      <c r="U4" s="857"/>
      <c r="V4" s="858" t="s">
        <v>1340</v>
      </c>
      <c r="W4" s="858"/>
      <c r="X4" s="858"/>
      <c r="Y4" s="858"/>
      <c r="Z4" s="858"/>
      <c r="AA4" s="858"/>
      <c r="AB4" s="858"/>
      <c r="AC4" s="858"/>
      <c r="AD4" s="858"/>
    </row>
    <row r="5" spans="1:30" ht="20.25" customHeight="1" thickBot="1" x14ac:dyDescent="0.25">
      <c r="A5" s="987" t="s">
        <v>19</v>
      </c>
      <c r="B5" s="987"/>
      <c r="C5" s="987"/>
      <c r="D5" s="987"/>
      <c r="E5" s="987"/>
      <c r="F5" s="987"/>
      <c r="G5" s="987"/>
      <c r="H5" s="987"/>
      <c r="I5" s="987"/>
      <c r="J5" s="987"/>
      <c r="K5" s="987"/>
      <c r="L5" s="987"/>
      <c r="M5" s="987"/>
      <c r="N5" s="987"/>
      <c r="O5" s="988" t="s">
        <v>20</v>
      </c>
      <c r="P5" s="988"/>
      <c r="Q5" s="988"/>
      <c r="R5" s="988"/>
      <c r="S5" s="988"/>
      <c r="T5" s="988"/>
      <c r="U5" s="988"/>
      <c r="V5" s="988"/>
      <c r="W5" s="988"/>
      <c r="X5" s="988"/>
      <c r="Y5" s="988"/>
      <c r="Z5" s="989" t="s">
        <v>21</v>
      </c>
      <c r="AA5" s="989"/>
      <c r="AB5" s="989"/>
      <c r="AC5" s="989"/>
      <c r="AD5" s="989"/>
    </row>
    <row r="6" spans="1:30" ht="75.75" thickBot="1" x14ac:dyDescent="0.25">
      <c r="A6" s="134" t="s">
        <v>22</v>
      </c>
      <c r="B6" s="134" t="s">
        <v>23</v>
      </c>
      <c r="C6" s="134" t="s">
        <v>24</v>
      </c>
      <c r="D6" s="134" t="s">
        <v>25</v>
      </c>
      <c r="E6" s="134" t="s">
        <v>26</v>
      </c>
      <c r="F6" s="134" t="s">
        <v>27</v>
      </c>
      <c r="G6" s="134" t="s">
        <v>28</v>
      </c>
      <c r="H6" s="134" t="s">
        <v>29</v>
      </c>
      <c r="I6" s="134" t="s">
        <v>30</v>
      </c>
      <c r="J6" s="134" t="s">
        <v>31</v>
      </c>
      <c r="K6" s="134" t="s">
        <v>32</v>
      </c>
      <c r="L6" s="134" t="s">
        <v>33</v>
      </c>
      <c r="M6" s="134" t="s">
        <v>34</v>
      </c>
      <c r="N6" s="134" t="s">
        <v>35</v>
      </c>
      <c r="O6" s="135" t="s">
        <v>36</v>
      </c>
      <c r="P6" s="135" t="s">
        <v>37</v>
      </c>
      <c r="Q6" s="135" t="s">
        <v>38</v>
      </c>
      <c r="R6" s="135" t="s">
        <v>39</v>
      </c>
      <c r="S6" s="135" t="s">
        <v>40</v>
      </c>
      <c r="T6" s="135" t="s">
        <v>41</v>
      </c>
      <c r="U6" s="135" t="s">
        <v>42</v>
      </c>
      <c r="V6" s="135" t="s">
        <v>43</v>
      </c>
      <c r="W6" s="135" t="s">
        <v>44</v>
      </c>
      <c r="X6" s="135" t="s">
        <v>45</v>
      </c>
      <c r="Y6" s="135" t="s">
        <v>46</v>
      </c>
      <c r="Z6" s="138" t="s">
        <v>47</v>
      </c>
      <c r="AA6" s="138" t="s">
        <v>48</v>
      </c>
      <c r="AB6" s="138" t="s">
        <v>49</v>
      </c>
      <c r="AC6" s="138" t="s">
        <v>50</v>
      </c>
      <c r="AD6" s="138" t="s">
        <v>51</v>
      </c>
    </row>
    <row r="7" spans="1:30" s="226" customFormat="1" ht="299.25" x14ac:dyDescent="0.2">
      <c r="A7" s="425" t="s">
        <v>202</v>
      </c>
      <c r="B7" s="425" t="s">
        <v>53</v>
      </c>
      <c r="C7" s="425" t="s">
        <v>1341</v>
      </c>
      <c r="D7" s="425" t="s">
        <v>1342</v>
      </c>
      <c r="E7" s="425" t="s">
        <v>1343</v>
      </c>
      <c r="F7" s="425" t="s">
        <v>1344</v>
      </c>
      <c r="G7" s="425" t="s">
        <v>1345</v>
      </c>
      <c r="H7" s="425">
        <v>9</v>
      </c>
      <c r="I7" s="425" t="s">
        <v>1346</v>
      </c>
      <c r="J7" s="425" t="s">
        <v>865</v>
      </c>
      <c r="K7" s="425" t="s">
        <v>61</v>
      </c>
      <c r="L7" s="425" t="s">
        <v>1347</v>
      </c>
      <c r="M7" s="517">
        <v>44861</v>
      </c>
      <c r="N7" s="517">
        <v>45015</v>
      </c>
      <c r="O7" s="479">
        <f>(N7-M7)/7</f>
        <v>22</v>
      </c>
      <c r="P7" s="140">
        <v>45679</v>
      </c>
      <c r="Q7" s="356">
        <f>P7</f>
        <v>45679</v>
      </c>
      <c r="R7" s="426">
        <f>(Q7-M7)/7-O7</f>
        <v>94.857142857142861</v>
      </c>
      <c r="S7" s="427" t="str">
        <f ca="1">IF((N7-TODAY())/7&gt;=0,"En tiempo","Alerta")</f>
        <v>Alerta</v>
      </c>
      <c r="T7" s="422">
        <v>6</v>
      </c>
      <c r="U7" s="428">
        <f>IF(T7/H7=1,1,+T7/H7)</f>
        <v>0.66666666666666663</v>
      </c>
      <c r="V7" s="428">
        <f>IF(R7&gt;O7,0%,IF(R7&lt;=0,"100%",1-(R7/O7)))</f>
        <v>0</v>
      </c>
      <c r="W7" s="429" t="str">
        <f t="shared" ref="W7:W14" si="0">IF(Q7&lt;=N7,"Cumple","Incumple")</f>
        <v>Incumple</v>
      </c>
      <c r="X7" s="782" t="s">
        <v>1348</v>
      </c>
      <c r="Y7" s="139" t="s">
        <v>1349</v>
      </c>
      <c r="Z7" s="428">
        <f>(U7+V7)/2</f>
        <v>0.33333333333333331</v>
      </c>
      <c r="AA7" s="430"/>
      <c r="AB7" s="430"/>
      <c r="AC7" s="431"/>
      <c r="AD7" s="424"/>
    </row>
    <row r="8" spans="1:30" s="226" customFormat="1" ht="186.75" customHeight="1" x14ac:dyDescent="0.2">
      <c r="A8" s="425" t="s">
        <v>202</v>
      </c>
      <c r="B8" s="425" t="s">
        <v>53</v>
      </c>
      <c r="C8" s="425" t="s">
        <v>1341</v>
      </c>
      <c r="D8" s="425" t="s">
        <v>1350</v>
      </c>
      <c r="E8" s="425" t="s">
        <v>1343</v>
      </c>
      <c r="F8" s="425" t="s">
        <v>1351</v>
      </c>
      <c r="G8" s="425" t="s">
        <v>1352</v>
      </c>
      <c r="H8" s="425">
        <v>1</v>
      </c>
      <c r="I8" s="425" t="s">
        <v>1353</v>
      </c>
      <c r="J8" s="425" t="s">
        <v>865</v>
      </c>
      <c r="K8" s="425" t="s">
        <v>61</v>
      </c>
      <c r="L8" s="425" t="s">
        <v>1354</v>
      </c>
      <c r="M8" s="517">
        <v>44861</v>
      </c>
      <c r="N8" s="517">
        <v>45225</v>
      </c>
      <c r="O8" s="479">
        <f t="shared" ref="O8:O13" si="1">(N8-M8)/7</f>
        <v>52</v>
      </c>
      <c r="P8" s="140">
        <v>45679</v>
      </c>
      <c r="Q8" s="356">
        <f>P8</f>
        <v>45679</v>
      </c>
      <c r="R8" s="426">
        <f>(Q8-M8)/7-O8</f>
        <v>64.857142857142861</v>
      </c>
      <c r="S8" s="427" t="str">
        <f ca="1">IF((N8-TODAY())/7&gt;=0,"En tiempo","Alerta")</f>
        <v>Alerta</v>
      </c>
      <c r="T8" s="422">
        <v>0.5</v>
      </c>
      <c r="U8" s="428">
        <f t="shared" ref="U8:U14" si="2">IF(T8/H8=1,1,+T8/H8)</f>
        <v>0.5</v>
      </c>
      <c r="V8" s="428">
        <f>IF(R8&gt;O8,0%,IF(R8&lt;=0,"100%",1-(R8/O8)))</f>
        <v>0</v>
      </c>
      <c r="W8" s="429" t="str">
        <f t="shared" si="0"/>
        <v>Incumple</v>
      </c>
      <c r="X8" s="782" t="s">
        <v>1355</v>
      </c>
      <c r="Y8" s="734" t="s">
        <v>1356</v>
      </c>
      <c r="Z8" s="428">
        <f>(U8+V8)/2</f>
        <v>0.25</v>
      </c>
      <c r="AA8" s="430"/>
      <c r="AB8" s="430"/>
      <c r="AC8" s="431"/>
      <c r="AD8" s="424"/>
    </row>
    <row r="9" spans="1:30" s="226" customFormat="1" ht="143.25" customHeight="1" x14ac:dyDescent="0.2">
      <c r="A9" s="425" t="s">
        <v>202</v>
      </c>
      <c r="B9" s="425" t="s">
        <v>53</v>
      </c>
      <c r="C9" s="425" t="s">
        <v>1341</v>
      </c>
      <c r="D9" s="425" t="s">
        <v>1350</v>
      </c>
      <c r="E9" s="425" t="s">
        <v>1343</v>
      </c>
      <c r="F9" s="425" t="s">
        <v>1357</v>
      </c>
      <c r="G9" s="425" t="s">
        <v>1358</v>
      </c>
      <c r="H9" s="425">
        <v>1</v>
      </c>
      <c r="I9" s="425" t="s">
        <v>1359</v>
      </c>
      <c r="J9" s="425" t="s">
        <v>865</v>
      </c>
      <c r="K9" s="425" t="s">
        <v>61</v>
      </c>
      <c r="L9" s="425" t="s">
        <v>1360</v>
      </c>
      <c r="M9" s="517">
        <v>44963</v>
      </c>
      <c r="N9" s="517">
        <v>45225</v>
      </c>
      <c r="O9" s="479">
        <f t="shared" si="1"/>
        <v>37.428571428571431</v>
      </c>
      <c r="P9" s="140">
        <v>45679</v>
      </c>
      <c r="Q9" s="356">
        <f>P9</f>
        <v>45679</v>
      </c>
      <c r="R9" s="426">
        <f>(Q9-M9)/7-O9</f>
        <v>64.857142857142861</v>
      </c>
      <c r="S9" s="427" t="str">
        <f ca="1">IF((N9-TODAY())/7&gt;=0,"En tiempo","Alerta")</f>
        <v>Alerta</v>
      </c>
      <c r="T9" s="422"/>
      <c r="U9" s="428">
        <f t="shared" si="2"/>
        <v>0</v>
      </c>
      <c r="V9" s="428">
        <f>IF(R9&gt;O9,0%,IF(R9&lt;=0,"100%",1-(R9/O9)))</f>
        <v>0</v>
      </c>
      <c r="W9" s="429" t="str">
        <f t="shared" si="0"/>
        <v>Incumple</v>
      </c>
      <c r="X9" s="783" t="s">
        <v>1279</v>
      </c>
      <c r="Y9" s="139" t="s">
        <v>1361</v>
      </c>
      <c r="Z9" s="428">
        <f>(U9+V9)/2</f>
        <v>0</v>
      </c>
      <c r="AA9" s="430"/>
      <c r="AB9" s="430"/>
      <c r="AC9" s="431"/>
      <c r="AD9" s="424"/>
    </row>
    <row r="10" spans="1:30" s="226" customFormat="1" ht="153" customHeight="1" x14ac:dyDescent="0.2">
      <c r="A10" s="425" t="s">
        <v>202</v>
      </c>
      <c r="B10" s="425" t="s">
        <v>53</v>
      </c>
      <c r="C10" s="425" t="s">
        <v>1341</v>
      </c>
      <c r="D10" s="425" t="s">
        <v>1350</v>
      </c>
      <c r="E10" s="425" t="s">
        <v>1343</v>
      </c>
      <c r="F10" s="425" t="s">
        <v>1362</v>
      </c>
      <c r="G10" s="425" t="s">
        <v>1363</v>
      </c>
      <c r="H10" s="518">
        <v>1</v>
      </c>
      <c r="I10" s="425" t="s">
        <v>1364</v>
      </c>
      <c r="J10" s="425" t="s">
        <v>865</v>
      </c>
      <c r="K10" s="425" t="s">
        <v>61</v>
      </c>
      <c r="L10" s="425" t="s">
        <v>1365</v>
      </c>
      <c r="M10" s="517">
        <v>44861</v>
      </c>
      <c r="N10" s="517">
        <v>45225</v>
      </c>
      <c r="O10" s="479">
        <f t="shared" si="1"/>
        <v>52</v>
      </c>
      <c r="P10" s="140">
        <v>45679</v>
      </c>
      <c r="Q10" s="356">
        <f>P10</f>
        <v>45679</v>
      </c>
      <c r="R10" s="426">
        <f t="shared" ref="R10:R13" si="3">(Q10-M10)/7-O10</f>
        <v>64.857142857142861</v>
      </c>
      <c r="S10" s="427" t="str">
        <f ca="1">IF((N10-TODAY())/7&gt;=0,"En tiempo","Alerta")</f>
        <v>Alerta</v>
      </c>
      <c r="T10" s="422">
        <v>0.5</v>
      </c>
      <c r="U10" s="428">
        <f t="shared" si="2"/>
        <v>0.5</v>
      </c>
      <c r="V10" s="428">
        <f>IF(R10&gt;O10,0%,IF(R10&lt;=0,"100%",1-(R10/O10)))</f>
        <v>0</v>
      </c>
      <c r="W10" s="429" t="str">
        <f t="shared" si="0"/>
        <v>Incumple</v>
      </c>
      <c r="X10" s="782" t="s">
        <v>1366</v>
      </c>
      <c r="Y10" s="735" t="s">
        <v>1367</v>
      </c>
      <c r="Z10" s="428">
        <f>(U10+V10)/2</f>
        <v>0.25</v>
      </c>
      <c r="AA10" s="430"/>
      <c r="AB10" s="430"/>
      <c r="AC10" s="431"/>
      <c r="AD10" s="424"/>
    </row>
    <row r="11" spans="1:30" s="226" customFormat="1" ht="222.75" customHeight="1" x14ac:dyDescent="0.2">
      <c r="A11" s="425" t="s">
        <v>202</v>
      </c>
      <c r="B11" s="425" t="s">
        <v>53</v>
      </c>
      <c r="C11" s="425" t="s">
        <v>1368</v>
      </c>
      <c r="D11" s="425" t="s">
        <v>1350</v>
      </c>
      <c r="E11" s="425" t="s">
        <v>1369</v>
      </c>
      <c r="F11" s="425" t="s">
        <v>1370</v>
      </c>
      <c r="G11" s="425" t="s">
        <v>1371</v>
      </c>
      <c r="H11" s="518">
        <v>1</v>
      </c>
      <c r="I11" s="425" t="s">
        <v>1372</v>
      </c>
      <c r="J11" s="425" t="s">
        <v>865</v>
      </c>
      <c r="K11" s="425" t="s">
        <v>61</v>
      </c>
      <c r="L11" s="425" t="s">
        <v>1373</v>
      </c>
      <c r="M11" s="517">
        <v>44861</v>
      </c>
      <c r="N11" s="517">
        <v>45079</v>
      </c>
      <c r="O11" s="479">
        <f t="shared" si="1"/>
        <v>31.142857142857142</v>
      </c>
      <c r="P11" s="140">
        <v>45679</v>
      </c>
      <c r="Q11" s="356">
        <f>P11</f>
        <v>45679</v>
      </c>
      <c r="R11" s="426">
        <f t="shared" si="3"/>
        <v>85.714285714285722</v>
      </c>
      <c r="S11" s="427" t="str">
        <f t="shared" ref="S11:S14" ca="1" si="4">IF((N11-TODAY())/7&gt;=0,"En tiempo","Alerta")</f>
        <v>Alerta</v>
      </c>
      <c r="T11" s="422">
        <v>0.3</v>
      </c>
      <c r="U11" s="428">
        <f t="shared" si="2"/>
        <v>0.3</v>
      </c>
      <c r="V11" s="428">
        <f t="shared" ref="V11:V14" si="5">IF(R11&gt;O11,0%,IF(R11&lt;=0,"100%",1-(R11/O11)))</f>
        <v>0</v>
      </c>
      <c r="W11" s="429" t="str">
        <f t="shared" si="0"/>
        <v>Incumple</v>
      </c>
      <c r="X11" s="783" t="s">
        <v>1374</v>
      </c>
      <c r="Y11" s="139" t="s">
        <v>3188</v>
      </c>
      <c r="Z11" s="428">
        <f t="shared" ref="Z11:Z14" si="6">(U11+V11)/2</f>
        <v>0.15</v>
      </c>
      <c r="AA11" s="430"/>
      <c r="AB11" s="430"/>
      <c r="AC11" s="431"/>
      <c r="AD11" s="424"/>
    </row>
    <row r="12" spans="1:30" s="226" customFormat="1" ht="198.75" customHeight="1" x14ac:dyDescent="0.2">
      <c r="A12" s="425" t="s">
        <v>202</v>
      </c>
      <c r="B12" s="425" t="s">
        <v>53</v>
      </c>
      <c r="C12" s="425" t="s">
        <v>1368</v>
      </c>
      <c r="D12" s="425" t="s">
        <v>1350</v>
      </c>
      <c r="E12" s="425" t="s">
        <v>1369</v>
      </c>
      <c r="F12" s="425" t="s">
        <v>1375</v>
      </c>
      <c r="G12" s="425" t="s">
        <v>1376</v>
      </c>
      <c r="H12" s="518">
        <v>1</v>
      </c>
      <c r="I12" s="425" t="s">
        <v>1372</v>
      </c>
      <c r="J12" s="425" t="s">
        <v>865</v>
      </c>
      <c r="K12" s="425" t="s">
        <v>61</v>
      </c>
      <c r="L12" s="425" t="s">
        <v>1373</v>
      </c>
      <c r="M12" s="517">
        <v>44861</v>
      </c>
      <c r="N12" s="517">
        <v>45079</v>
      </c>
      <c r="O12" s="479">
        <f t="shared" si="1"/>
        <v>31.142857142857142</v>
      </c>
      <c r="P12" s="140">
        <v>45679</v>
      </c>
      <c r="Q12" s="356">
        <f t="shared" ref="Q12:Q14" si="7">P12</f>
        <v>45679</v>
      </c>
      <c r="R12" s="426">
        <f t="shared" si="3"/>
        <v>85.714285714285722</v>
      </c>
      <c r="S12" s="427" t="str">
        <f t="shared" ca="1" si="4"/>
        <v>Alerta</v>
      </c>
      <c r="T12" s="422">
        <v>0.3</v>
      </c>
      <c r="U12" s="428">
        <f t="shared" si="2"/>
        <v>0.3</v>
      </c>
      <c r="V12" s="428">
        <f t="shared" si="5"/>
        <v>0</v>
      </c>
      <c r="W12" s="429" t="str">
        <f t="shared" si="0"/>
        <v>Incumple</v>
      </c>
      <c r="X12" s="783" t="s">
        <v>1377</v>
      </c>
      <c r="Y12" s="783" t="s">
        <v>1378</v>
      </c>
      <c r="Z12" s="428">
        <f t="shared" si="6"/>
        <v>0.15</v>
      </c>
      <c r="AA12" s="430"/>
      <c r="AB12" s="430"/>
      <c r="AC12" s="431"/>
      <c r="AD12" s="424"/>
    </row>
    <row r="13" spans="1:30" s="226" customFormat="1" ht="152.25" customHeight="1" x14ac:dyDescent="0.2">
      <c r="A13" s="425" t="s">
        <v>202</v>
      </c>
      <c r="B13" s="425" t="s">
        <v>53</v>
      </c>
      <c r="C13" s="425" t="s">
        <v>1379</v>
      </c>
      <c r="D13" s="514" t="s">
        <v>1380</v>
      </c>
      <c r="E13" s="425" t="s">
        <v>1381</v>
      </c>
      <c r="F13" s="425" t="s">
        <v>1382</v>
      </c>
      <c r="G13" s="425" t="s">
        <v>1383</v>
      </c>
      <c r="H13" s="518">
        <v>1</v>
      </c>
      <c r="I13" s="425" t="s">
        <v>1384</v>
      </c>
      <c r="J13" s="425" t="s">
        <v>865</v>
      </c>
      <c r="K13" s="425" t="s">
        <v>61</v>
      </c>
      <c r="L13" s="425" t="s">
        <v>1385</v>
      </c>
      <c r="M13" s="517">
        <v>44714</v>
      </c>
      <c r="N13" s="517">
        <v>45079</v>
      </c>
      <c r="O13" s="479">
        <f t="shared" si="1"/>
        <v>52.142857142857146</v>
      </c>
      <c r="P13" s="140">
        <v>45107</v>
      </c>
      <c r="Q13" s="356">
        <v>44925</v>
      </c>
      <c r="R13" s="426">
        <f t="shared" si="3"/>
        <v>-22.000000000000004</v>
      </c>
      <c r="S13" s="427" t="str">
        <f t="shared" ca="1" si="4"/>
        <v>Alerta</v>
      </c>
      <c r="T13" s="422">
        <v>1</v>
      </c>
      <c r="U13" s="428">
        <f t="shared" si="2"/>
        <v>1</v>
      </c>
      <c r="V13" s="428" t="str">
        <f t="shared" si="5"/>
        <v>100%</v>
      </c>
      <c r="W13" s="429" t="str">
        <f t="shared" si="0"/>
        <v>Cumple</v>
      </c>
      <c r="X13" s="783" t="s">
        <v>1386</v>
      </c>
      <c r="Y13" s="139" t="s">
        <v>1387</v>
      </c>
      <c r="Z13" s="428">
        <f t="shared" si="6"/>
        <v>1</v>
      </c>
      <c r="AA13" s="430">
        <v>1</v>
      </c>
      <c r="AB13" s="430">
        <v>0.75</v>
      </c>
      <c r="AC13" s="432">
        <f>AVERAGE(Z13:AB13)</f>
        <v>0.91666666666666663</v>
      </c>
      <c r="AD13" s="424" t="s">
        <v>1388</v>
      </c>
    </row>
    <row r="14" spans="1:30" s="226" customFormat="1" ht="168" customHeight="1" x14ac:dyDescent="0.2">
      <c r="A14" s="425" t="s">
        <v>202</v>
      </c>
      <c r="B14" s="425" t="s">
        <v>53</v>
      </c>
      <c r="C14" s="425" t="s">
        <v>1379</v>
      </c>
      <c r="D14" s="514" t="s">
        <v>1380</v>
      </c>
      <c r="E14" s="425" t="s">
        <v>1381</v>
      </c>
      <c r="F14" s="425" t="s">
        <v>1389</v>
      </c>
      <c r="G14" s="425" t="s">
        <v>1390</v>
      </c>
      <c r="H14" s="518">
        <v>1</v>
      </c>
      <c r="I14" s="425" t="s">
        <v>1391</v>
      </c>
      <c r="J14" s="425" t="s">
        <v>865</v>
      </c>
      <c r="K14" s="425" t="s">
        <v>61</v>
      </c>
      <c r="L14" s="425" t="s">
        <v>1385</v>
      </c>
      <c r="M14" s="517">
        <v>44714</v>
      </c>
      <c r="N14" s="517">
        <v>45079</v>
      </c>
      <c r="O14" s="479">
        <f>(N14-M14)/7</f>
        <v>52.142857142857146</v>
      </c>
      <c r="P14" s="140">
        <v>45679</v>
      </c>
      <c r="Q14" s="356">
        <f t="shared" si="7"/>
        <v>45679</v>
      </c>
      <c r="R14" s="426">
        <f>(Q14-M14)/7-O14</f>
        <v>85.714285714285722</v>
      </c>
      <c r="S14" s="427" t="str">
        <f t="shared" ca="1" si="4"/>
        <v>Alerta</v>
      </c>
      <c r="T14" s="422">
        <v>0.33</v>
      </c>
      <c r="U14" s="428">
        <f t="shared" si="2"/>
        <v>0.33</v>
      </c>
      <c r="V14" s="428">
        <f t="shared" si="5"/>
        <v>0</v>
      </c>
      <c r="W14" s="429" t="str">
        <f t="shared" si="0"/>
        <v>Incumple</v>
      </c>
      <c r="X14" s="783" t="s">
        <v>1392</v>
      </c>
      <c r="Y14" s="783" t="s">
        <v>1393</v>
      </c>
      <c r="Z14" s="428">
        <f t="shared" si="6"/>
        <v>0.16500000000000001</v>
      </c>
      <c r="AA14" s="430"/>
      <c r="AB14" s="430"/>
      <c r="AC14" s="431"/>
      <c r="AD14" s="424"/>
    </row>
    <row r="15" spans="1:30" ht="30.75" customHeight="1" thickBot="1" x14ac:dyDescent="0.25">
      <c r="G15" s="62" t="s">
        <v>314</v>
      </c>
      <c r="H15" s="63">
        <f>SUM(H7:H14)</f>
        <v>16</v>
      </c>
      <c r="R15" s="986" t="s">
        <v>195</v>
      </c>
      <c r="S15" s="986"/>
      <c r="T15" s="154">
        <f>SUM(T7:T14)</f>
        <v>8.93</v>
      </c>
      <c r="U15" s="155">
        <f>AVERAGE(U7:U14)</f>
        <v>0.44958333333333333</v>
      </c>
      <c r="V15" s="153"/>
      <c r="W15" s="152">
        <f>(COUNTIF(W7:W14,"Cumple")*100%)/COUNTA(W7:W14)</f>
        <v>0.125</v>
      </c>
      <c r="AA15" s="986" t="s">
        <v>195</v>
      </c>
      <c r="AB15" s="986"/>
      <c r="AC15" s="152">
        <f>AVERAGE(AC7:AC14)</f>
        <v>0.91666666666666663</v>
      </c>
    </row>
  </sheetData>
  <autoFilter ref="A6:AD6" xr:uid="{91E9CF82-E482-43BB-8BDA-5AEB66225312}"/>
  <mergeCells count="28">
    <mergeCell ref="G4:H4"/>
    <mergeCell ref="I4:N4"/>
    <mergeCell ref="O4:P4"/>
    <mergeCell ref="Q4:S4"/>
    <mergeCell ref="A2:B2"/>
    <mergeCell ref="C2:F2"/>
    <mergeCell ref="A1:B1"/>
    <mergeCell ref="C1:N1"/>
    <mergeCell ref="A3:B3"/>
    <mergeCell ref="C3:F3"/>
    <mergeCell ref="G3:H3"/>
    <mergeCell ref="I3:N3"/>
    <mergeCell ref="AA15:AB15"/>
    <mergeCell ref="R15:S15"/>
    <mergeCell ref="G2:H2"/>
    <mergeCell ref="I2:N2"/>
    <mergeCell ref="Q3:V3"/>
    <mergeCell ref="O3:P3"/>
    <mergeCell ref="O1:P2"/>
    <mergeCell ref="Q1:Y2"/>
    <mergeCell ref="Z1:AD4"/>
    <mergeCell ref="A5:N5"/>
    <mergeCell ref="O5:Y5"/>
    <mergeCell ref="Z5:AD5"/>
    <mergeCell ref="T4:U4"/>
    <mergeCell ref="V4:Y4"/>
    <mergeCell ref="A4:B4"/>
    <mergeCell ref="C4:F4"/>
  </mergeCells>
  <conditionalFormatting sqref="R7:R14">
    <cfRule type="cellIs" dxfId="210" priority="76" operator="lessThan">
      <formula>0</formula>
    </cfRule>
    <cfRule type="cellIs" dxfId="209" priority="75" operator="greaterThan">
      <formula>0</formula>
    </cfRule>
  </conditionalFormatting>
  <conditionalFormatting sqref="S7:S14">
    <cfRule type="containsText" dxfId="208" priority="14" operator="containsText" text="Alerta">
      <formula>NOT(ISERROR(SEARCH("Alerta",S7)))</formula>
    </cfRule>
    <cfRule type="containsText" dxfId="207" priority="15" operator="containsText" text="En tiempo">
      <formula>NOT(ISERROR(SEARCH("En tiempo",S7)))</formula>
    </cfRule>
  </conditionalFormatting>
  <conditionalFormatting sqref="U8:U15">
    <cfRule type="cellIs" dxfId="206" priority="2" operator="between">
      <formula>0.49</formula>
      <formula>0.3</formula>
    </cfRule>
    <cfRule type="cellIs" dxfId="205" priority="3" operator="between">
      <formula>0.79</formula>
      <formula>0.5</formula>
    </cfRule>
    <cfRule type="cellIs" dxfId="204" priority="4" operator="between">
      <formula>1</formula>
      <formula>0.8</formula>
    </cfRule>
    <cfRule type="cellIs" dxfId="203" priority="1" operator="between">
      <formula>0.29</formula>
      <formula>0</formula>
    </cfRule>
  </conditionalFormatting>
  <conditionalFormatting sqref="U7:V7 Z7 V11 Z11 V13 Z13">
    <cfRule type="cellIs" dxfId="202" priority="67" operator="between">
      <formula>0.29</formula>
      <formula>0</formula>
    </cfRule>
    <cfRule type="cellIs" dxfId="201" priority="68" operator="between">
      <formula>0.49</formula>
      <formula>0.3</formula>
    </cfRule>
    <cfRule type="cellIs" dxfId="200" priority="69" operator="between">
      <formula>0.79</formula>
      <formula>0.5</formula>
    </cfRule>
    <cfRule type="cellIs" dxfId="199" priority="70" operator="between">
      <formula>1</formula>
      <formula>0.8</formula>
    </cfRule>
  </conditionalFormatting>
  <conditionalFormatting sqref="V8:V10 Z8:Z10">
    <cfRule type="cellIs" dxfId="198" priority="30" operator="between">
      <formula>0.19</formula>
      <formula>0</formula>
    </cfRule>
    <cfRule type="cellIs" dxfId="197" priority="31" operator="between">
      <formula>0.49</formula>
      <formula>0.2</formula>
    </cfRule>
    <cfRule type="cellIs" dxfId="196" priority="32" operator="between">
      <formula>0.89</formula>
      <formula>0.5</formula>
    </cfRule>
    <cfRule type="cellIs" dxfId="195" priority="33" operator="between">
      <formula>1</formula>
      <formula>0.9</formula>
    </cfRule>
  </conditionalFormatting>
  <conditionalFormatting sqref="V12 Z12">
    <cfRule type="cellIs" dxfId="194" priority="21" operator="between">
      <formula>0.89</formula>
      <formula>0.5</formula>
    </cfRule>
    <cfRule type="cellIs" dxfId="193" priority="22" operator="between">
      <formula>1</formula>
      <formula>0.9</formula>
    </cfRule>
    <cfRule type="cellIs" dxfId="192" priority="19" operator="between">
      <formula>0.19</formula>
      <formula>0</formula>
    </cfRule>
    <cfRule type="cellIs" dxfId="191" priority="20" operator="between">
      <formula>0.49</formula>
      <formula>0.2</formula>
    </cfRule>
  </conditionalFormatting>
  <conditionalFormatting sqref="V14 Z14">
    <cfRule type="cellIs" dxfId="190" priority="8" operator="between">
      <formula>0.19</formula>
      <formula>0</formula>
    </cfRule>
    <cfRule type="cellIs" dxfId="189" priority="9" operator="between">
      <formula>0.49</formula>
      <formula>0.2</formula>
    </cfRule>
    <cfRule type="cellIs" dxfId="188" priority="10" operator="between">
      <formula>0.89</formula>
      <formula>0.5</formula>
    </cfRule>
    <cfRule type="cellIs" dxfId="187" priority="11" operator="between">
      <formula>1</formula>
      <formula>0.9</formula>
    </cfRule>
  </conditionalFormatting>
  <conditionalFormatting sqref="W7:W14">
    <cfRule type="containsText" dxfId="186" priority="12" operator="containsText" text="Incumple">
      <formula>NOT(ISERROR(SEARCH("Incumple",W7)))</formula>
    </cfRule>
    <cfRule type="containsText" dxfId="185" priority="13" operator="containsText" text="Cumple">
      <formula>NOT(ISERROR(SEARCH("Cumple",W7)))</formula>
    </cfRule>
  </conditionalFormatting>
  <conditionalFormatting sqref="W15">
    <cfRule type="cellIs" dxfId="184" priority="63" operator="between">
      <formula>0.19</formula>
      <formula>0</formula>
    </cfRule>
    <cfRule type="cellIs" dxfId="183" priority="64" operator="between">
      <formula>0.49</formula>
      <formula>0.2</formula>
    </cfRule>
    <cfRule type="cellIs" dxfId="182" priority="65" operator="between">
      <formula>0.89</formula>
      <formula>0.5</formula>
    </cfRule>
    <cfRule type="cellIs" dxfId="181" priority="66" operator="between">
      <formula>1</formula>
      <formula>0.9</formula>
    </cfRule>
  </conditionalFormatting>
  <conditionalFormatting sqref="AC7:AC15">
    <cfRule type="cellIs" dxfId="180" priority="5" operator="between">
      <formula>0.3</formula>
      <formula>0</formula>
    </cfRule>
    <cfRule type="cellIs" dxfId="179" priority="6" operator="between">
      <formula>0.6999</formula>
      <formula>0.3111</formula>
    </cfRule>
    <cfRule type="cellIs" dxfId="178" priority="7" operator="between">
      <formula>1</formula>
      <formula>0.7</formula>
    </cfRule>
  </conditionalFormatting>
  <dataValidations count="5">
    <dataValidation type="list" allowBlank="1" showInputMessage="1" showErrorMessage="1" errorTitle="Estado" error="No es un estado de los Planes de Mejoramiento" sqref="Q4:S4" xr:uid="{050728AC-FB71-41E5-A98E-9B5F43999706}">
      <formula1>$AW$4:$AW$7</formula1>
    </dataValidation>
    <dataValidation type="list" allowBlank="1" showInputMessage="1" showErrorMessage="1" sqref="B7:B14" xr:uid="{CB5E036A-9967-4F47-AF98-ED14C9E9B6E1}">
      <formula1>$AV$5:$AV$7</formula1>
    </dataValidation>
    <dataValidation type="list" allowBlank="1" showInputMessage="1" showErrorMessage="1" sqref="A7:A14" xr:uid="{970EA1F5-793C-4CF0-B902-9963DB047E97}">
      <formula1>$AP$4:$AP$13</formula1>
    </dataValidation>
    <dataValidation type="list" allowBlank="1" showInputMessage="1" showErrorMessage="1" sqref="J7:J14" xr:uid="{4D841531-64A2-477E-AF2A-CA91A16F6100}">
      <formula1>$AR$4:$AR$13</formula1>
    </dataValidation>
    <dataValidation type="list" allowBlank="1" showInputMessage="1" showErrorMessage="1" sqref="K7:K14" xr:uid="{F95F73B9-E1AE-4470-8FFD-BEBD2966145D}">
      <formula1>$AS$4:$AS$13</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32C3E-5FA1-4B80-B89A-FCD7BE75C7B3}">
  <sheetPr>
    <tabColor rgb="FF00B0F0"/>
  </sheetPr>
  <dimension ref="A1:BB28"/>
  <sheetViews>
    <sheetView topLeftCell="M1" zoomScale="77" zoomScaleNormal="77" workbookViewId="0">
      <selection activeCell="Y8" sqref="Y8"/>
    </sheetView>
  </sheetViews>
  <sheetFormatPr baseColWidth="10" defaultColWidth="17.5703125" defaultRowHeight="12.75" x14ac:dyDescent="0.2"/>
  <cols>
    <col min="1" max="1" width="12.140625" style="53" customWidth="1"/>
    <col min="2" max="2" width="13.7109375" style="53" customWidth="1"/>
    <col min="3" max="3" width="52.140625" style="53" customWidth="1"/>
    <col min="4" max="4" width="32.85546875" style="53" customWidth="1"/>
    <col min="5" max="5" width="30.7109375" style="53" customWidth="1"/>
    <col min="6" max="6" width="38.140625" style="53" customWidth="1"/>
    <col min="7" max="7" width="32.85546875" style="53" customWidth="1"/>
    <col min="8" max="8" width="13" style="53" customWidth="1"/>
    <col min="9" max="9" width="26.5703125" style="53" customWidth="1"/>
    <col min="10" max="10" width="13.7109375" style="53" customWidth="1"/>
    <col min="11" max="11" width="21.42578125" style="53" customWidth="1"/>
    <col min="12" max="12" width="20.5703125" style="53" customWidth="1"/>
    <col min="13" max="14" width="13.42578125" style="53" customWidth="1"/>
    <col min="15" max="15" width="12" style="53" customWidth="1"/>
    <col min="16" max="16" width="16.85546875" style="53" customWidth="1"/>
    <col min="17" max="17" width="19.42578125" style="53" customWidth="1"/>
    <col min="18" max="18" width="11.5703125" style="53" customWidth="1"/>
    <col min="19" max="19" width="11.140625" style="53" customWidth="1"/>
    <col min="20" max="20" width="15" style="53" customWidth="1"/>
    <col min="21" max="21" width="16.5703125" style="53" customWidth="1"/>
    <col min="22" max="22" width="13.42578125" style="53" customWidth="1"/>
    <col min="23" max="23" width="16.7109375" style="53" customWidth="1"/>
    <col min="24" max="24" width="77.85546875" style="53" customWidth="1"/>
    <col min="25" max="25" width="73.140625" style="53" customWidth="1"/>
    <col min="26" max="26" width="12.28515625" style="53" customWidth="1"/>
    <col min="27" max="27" width="13.42578125" style="53" customWidth="1"/>
    <col min="28" max="28" width="14.140625" style="53" customWidth="1"/>
    <col min="29" max="29" width="12.5703125" style="53" customWidth="1"/>
    <col min="30" max="30" width="72.42578125" style="53" customWidth="1"/>
    <col min="31" max="39" width="9.140625"/>
    <col min="40" max="41" width="9.140625" style="325"/>
    <col min="42" max="42" width="28.5703125" style="325" customWidth="1"/>
    <col min="43" max="43" width="42" style="325" customWidth="1"/>
    <col min="44" max="44" width="17.5703125" style="325" customWidth="1"/>
    <col min="45" max="45" width="51.42578125" style="325" customWidth="1"/>
    <col min="46" max="46" width="8.5703125" style="325" customWidth="1"/>
    <col min="47" max="47" width="7.140625" style="325" customWidth="1"/>
    <col min="48" max="48" width="20.85546875" style="325" customWidth="1"/>
    <col min="49" max="49" width="17.5703125" style="226" customWidth="1"/>
    <col min="50" max="50" width="22.42578125" style="226" customWidth="1"/>
    <col min="51" max="54" width="17.5703125" style="226"/>
  </cols>
  <sheetData>
    <row r="1" spans="1:30" ht="105.75" customHeight="1" x14ac:dyDescent="0.2">
      <c r="A1" s="858" t="s">
        <v>0</v>
      </c>
      <c r="B1" s="858"/>
      <c r="C1" s="858" t="s">
        <v>1</v>
      </c>
      <c r="D1" s="858"/>
      <c r="E1" s="858"/>
      <c r="F1" s="858"/>
      <c r="G1" s="858"/>
      <c r="H1" s="858"/>
      <c r="I1" s="858"/>
      <c r="J1" s="858"/>
      <c r="K1" s="858"/>
      <c r="L1" s="858"/>
      <c r="M1" s="858"/>
      <c r="N1" s="858"/>
      <c r="O1" s="858" t="s">
        <v>0</v>
      </c>
      <c r="P1" s="858"/>
      <c r="Q1" s="858" t="s">
        <v>2</v>
      </c>
      <c r="R1" s="858"/>
      <c r="S1" s="858"/>
      <c r="T1" s="858"/>
      <c r="U1" s="858"/>
      <c r="V1" s="858"/>
      <c r="W1" s="858"/>
      <c r="X1" s="858"/>
      <c r="Y1" s="858"/>
      <c r="Z1" s="858" t="s">
        <v>2</v>
      </c>
      <c r="AA1" s="858"/>
      <c r="AB1" s="858"/>
      <c r="AC1" s="858"/>
      <c r="AD1" s="858"/>
    </row>
    <row r="2" spans="1:30" ht="24.75" customHeight="1" x14ac:dyDescent="0.2">
      <c r="A2" s="858" t="s">
        <v>197</v>
      </c>
      <c r="B2" s="858"/>
      <c r="C2" s="858" t="s">
        <v>4</v>
      </c>
      <c r="D2" s="862"/>
      <c r="E2" s="862"/>
      <c r="F2" s="862"/>
      <c r="G2" s="858" t="s">
        <v>5</v>
      </c>
      <c r="H2" s="858"/>
      <c r="I2" s="858" t="s">
        <v>6</v>
      </c>
      <c r="J2" s="858"/>
      <c r="K2" s="858"/>
      <c r="L2" s="858"/>
      <c r="M2" s="858"/>
      <c r="N2" s="858"/>
      <c r="O2" s="858"/>
      <c r="P2" s="858"/>
      <c r="Q2" s="858"/>
      <c r="R2" s="858"/>
      <c r="S2" s="858"/>
      <c r="T2" s="858"/>
      <c r="U2" s="858"/>
      <c r="V2" s="858"/>
      <c r="W2" s="858"/>
      <c r="X2" s="858"/>
      <c r="Y2" s="858"/>
      <c r="Z2" s="858"/>
      <c r="AA2" s="858"/>
      <c r="AB2" s="858"/>
      <c r="AC2" s="858"/>
      <c r="AD2" s="858"/>
    </row>
    <row r="3" spans="1:30" ht="28.5" customHeight="1" x14ac:dyDescent="0.2">
      <c r="A3" s="857" t="s">
        <v>7</v>
      </c>
      <c r="B3" s="857"/>
      <c r="C3" s="858" t="s">
        <v>1394</v>
      </c>
      <c r="D3" s="858"/>
      <c r="E3" s="858"/>
      <c r="F3" s="858"/>
      <c r="G3" s="857" t="s">
        <v>9</v>
      </c>
      <c r="H3" s="857"/>
      <c r="I3" s="860">
        <v>45313</v>
      </c>
      <c r="J3" s="858"/>
      <c r="K3" s="858"/>
      <c r="L3" s="858"/>
      <c r="M3" s="858"/>
      <c r="N3" s="858"/>
      <c r="O3" s="857" t="s">
        <v>10</v>
      </c>
      <c r="P3" s="857"/>
      <c r="Q3" s="860">
        <v>45679</v>
      </c>
      <c r="R3" s="860"/>
      <c r="S3" s="860"/>
      <c r="T3" s="860"/>
      <c r="U3" s="860"/>
      <c r="V3" s="860"/>
      <c r="W3" s="132"/>
      <c r="X3" s="133" t="s">
        <v>11</v>
      </c>
      <c r="Y3" s="151" t="s">
        <v>3254</v>
      </c>
      <c r="Z3" s="858"/>
      <c r="AA3" s="858"/>
      <c r="AB3" s="858"/>
      <c r="AC3" s="858"/>
      <c r="AD3" s="858"/>
    </row>
    <row r="4" spans="1:30" ht="29.25" customHeight="1" x14ac:dyDescent="0.2">
      <c r="A4" s="857" t="s">
        <v>13</v>
      </c>
      <c r="B4" s="857"/>
      <c r="C4" s="858" t="s">
        <v>1395</v>
      </c>
      <c r="D4" s="858"/>
      <c r="E4" s="858"/>
      <c r="F4" s="858"/>
      <c r="G4" s="857" t="s">
        <v>15</v>
      </c>
      <c r="H4" s="857"/>
      <c r="I4" s="860">
        <f>I3+365</f>
        <v>45678</v>
      </c>
      <c r="J4" s="860"/>
      <c r="K4" s="860"/>
      <c r="L4" s="860"/>
      <c r="M4" s="860"/>
      <c r="N4" s="860"/>
      <c r="O4" s="857" t="s">
        <v>16</v>
      </c>
      <c r="P4" s="857"/>
      <c r="Q4" s="858" t="s">
        <v>491</v>
      </c>
      <c r="R4" s="858"/>
      <c r="S4" s="858"/>
      <c r="T4" s="857" t="s">
        <v>18</v>
      </c>
      <c r="U4" s="857"/>
      <c r="V4" s="858" t="s">
        <v>1396</v>
      </c>
      <c r="W4" s="858"/>
      <c r="X4" s="858"/>
      <c r="Y4" s="858"/>
      <c r="Z4" s="858"/>
      <c r="AA4" s="858"/>
      <c r="AB4" s="858"/>
      <c r="AC4" s="858"/>
      <c r="AD4" s="858"/>
    </row>
    <row r="5" spans="1:30" ht="20.25" customHeight="1" x14ac:dyDescent="0.2">
      <c r="A5" s="987" t="s">
        <v>19</v>
      </c>
      <c r="B5" s="1001"/>
      <c r="C5" s="987"/>
      <c r="D5" s="987"/>
      <c r="E5" s="987"/>
      <c r="F5" s="987"/>
      <c r="G5" s="987"/>
      <c r="H5" s="987"/>
      <c r="I5" s="987"/>
      <c r="J5" s="987"/>
      <c r="K5" s="987"/>
      <c r="L5" s="987"/>
      <c r="M5" s="987"/>
      <c r="N5" s="987"/>
      <c r="O5" s="1002" t="s">
        <v>20</v>
      </c>
      <c r="P5" s="988"/>
      <c r="Q5" s="988"/>
      <c r="R5" s="988"/>
      <c r="S5" s="988"/>
      <c r="T5" s="988"/>
      <c r="U5" s="988"/>
      <c r="V5" s="988"/>
      <c r="W5" s="988"/>
      <c r="X5" s="988"/>
      <c r="Y5" s="988"/>
      <c r="Z5" s="989" t="s">
        <v>21</v>
      </c>
      <c r="AA5" s="989"/>
      <c r="AB5" s="989"/>
      <c r="AC5" s="989"/>
      <c r="AD5" s="989"/>
    </row>
    <row r="6" spans="1:30" ht="90" x14ac:dyDescent="0.2">
      <c r="A6" s="229" t="s">
        <v>22</v>
      </c>
      <c r="B6" s="244" t="s">
        <v>23</v>
      </c>
      <c r="C6" s="232" t="s">
        <v>24</v>
      </c>
      <c r="D6" s="227" t="s">
        <v>25</v>
      </c>
      <c r="E6" s="227" t="s">
        <v>26</v>
      </c>
      <c r="F6" s="227" t="s">
        <v>27</v>
      </c>
      <c r="G6" s="227" t="s">
        <v>28</v>
      </c>
      <c r="H6" s="227" t="s">
        <v>29</v>
      </c>
      <c r="I6" s="227" t="s">
        <v>30</v>
      </c>
      <c r="J6" s="227" t="s">
        <v>31</v>
      </c>
      <c r="K6" s="227" t="s">
        <v>32</v>
      </c>
      <c r="L6" s="227" t="s">
        <v>33</v>
      </c>
      <c r="M6" s="227" t="s">
        <v>34</v>
      </c>
      <c r="N6" s="229" t="s">
        <v>35</v>
      </c>
      <c r="O6" s="231" t="s">
        <v>36</v>
      </c>
      <c r="P6" s="230" t="s">
        <v>37</v>
      </c>
      <c r="Q6" s="228" t="s">
        <v>38</v>
      </c>
      <c r="R6" s="228" t="s">
        <v>39</v>
      </c>
      <c r="S6" s="228" t="s">
        <v>40</v>
      </c>
      <c r="T6" s="228" t="s">
        <v>41</v>
      </c>
      <c r="U6" s="228" t="s">
        <v>42</v>
      </c>
      <c r="V6" s="228" t="s">
        <v>43</v>
      </c>
      <c r="W6" s="228" t="s">
        <v>44</v>
      </c>
      <c r="X6" s="228" t="s">
        <v>45</v>
      </c>
      <c r="Y6" s="228" t="s">
        <v>46</v>
      </c>
      <c r="Z6" s="240" t="s">
        <v>47</v>
      </c>
      <c r="AA6" s="240" t="s">
        <v>48</v>
      </c>
      <c r="AB6" s="240" t="s">
        <v>49</v>
      </c>
      <c r="AC6" s="240" t="s">
        <v>50</v>
      </c>
      <c r="AD6" s="240" t="s">
        <v>51</v>
      </c>
    </row>
    <row r="7" spans="1:30" s="226" customFormat="1" ht="148.5" customHeight="1" x14ac:dyDescent="0.2">
      <c r="A7" s="486" t="s">
        <v>202</v>
      </c>
      <c r="B7" s="491" t="s">
        <v>53</v>
      </c>
      <c r="C7" s="519" t="s">
        <v>1397</v>
      </c>
      <c r="D7" s="519" t="s">
        <v>1398</v>
      </c>
      <c r="E7" s="519" t="s">
        <v>1399</v>
      </c>
      <c r="F7" s="519" t="s">
        <v>1400</v>
      </c>
      <c r="G7" s="519" t="s">
        <v>1401</v>
      </c>
      <c r="H7" s="520">
        <v>1</v>
      </c>
      <c r="I7" s="519" t="s">
        <v>1402</v>
      </c>
      <c r="J7" s="519" t="s">
        <v>87</v>
      </c>
      <c r="K7" s="519" t="s">
        <v>61</v>
      </c>
      <c r="L7" s="519" t="s">
        <v>1403</v>
      </c>
      <c r="M7" s="521">
        <v>45293</v>
      </c>
      <c r="N7" s="784">
        <v>45838</v>
      </c>
      <c r="O7" s="785">
        <f>(N7-M7)/7</f>
        <v>77.857142857142861</v>
      </c>
      <c r="P7" s="786">
        <v>45679</v>
      </c>
      <c r="Q7" s="786">
        <f t="shared" ref="Q7:Q19" si="0">P7</f>
        <v>45679</v>
      </c>
      <c r="R7" s="433">
        <f>(Q7-M7)/7-O7</f>
        <v>-22.714285714285715</v>
      </c>
      <c r="S7" s="434" t="str">
        <f ca="1">IF((N7-TODAY())/7&gt;=0,"En tiempo","Alerta")</f>
        <v>En tiempo</v>
      </c>
      <c r="T7" s="292">
        <v>0.3</v>
      </c>
      <c r="U7" s="408">
        <f>IF(T7/H7=1,1,+T7/H7)</f>
        <v>0.3</v>
      </c>
      <c r="V7" s="408" t="str">
        <f>IF(R7&gt;O7,0%,IF(R7&lt;=0,"100%",1-(R7/O7)))</f>
        <v>100%</v>
      </c>
      <c r="W7" s="435" t="str">
        <f>IF(P7&lt;=N7,"Cumple","Incumple")</f>
        <v>Cumple</v>
      </c>
      <c r="X7" s="284" t="s">
        <v>1404</v>
      </c>
      <c r="Y7" s="285" t="s">
        <v>1405</v>
      </c>
      <c r="Z7" s="408">
        <f>(U7+V7)/2</f>
        <v>0.65</v>
      </c>
      <c r="AA7" s="436"/>
      <c r="AB7" s="436"/>
      <c r="AC7" s="437"/>
      <c r="AD7" s="438"/>
    </row>
    <row r="8" spans="1:30" s="226" customFormat="1" ht="234" customHeight="1" x14ac:dyDescent="0.2">
      <c r="A8" s="992" t="s">
        <v>202</v>
      </c>
      <c r="B8" s="990" t="s">
        <v>53</v>
      </c>
      <c r="C8" s="997" t="s">
        <v>1406</v>
      </c>
      <c r="D8" s="997" t="s">
        <v>1407</v>
      </c>
      <c r="E8" s="997" t="s">
        <v>1408</v>
      </c>
      <c r="F8" s="519" t="s">
        <v>1409</v>
      </c>
      <c r="G8" s="519" t="s">
        <v>1410</v>
      </c>
      <c r="H8" s="520">
        <v>1</v>
      </c>
      <c r="I8" s="519" t="s">
        <v>1411</v>
      </c>
      <c r="J8" s="519" t="s">
        <v>501</v>
      </c>
      <c r="K8" s="519" t="s">
        <v>61</v>
      </c>
      <c r="L8" s="519" t="s">
        <v>1412</v>
      </c>
      <c r="M8" s="521">
        <v>45293</v>
      </c>
      <c r="N8" s="784">
        <v>45838</v>
      </c>
      <c r="O8" s="785">
        <f t="shared" ref="O8:O27" si="1">(N8-M8)/7</f>
        <v>77.857142857142861</v>
      </c>
      <c r="P8" s="786">
        <v>45679</v>
      </c>
      <c r="Q8" s="786">
        <f t="shared" si="0"/>
        <v>45679</v>
      </c>
      <c r="R8" s="433">
        <f t="shared" ref="R8:R26" si="2">(Q8-M8)/7-O8</f>
        <v>-22.714285714285715</v>
      </c>
      <c r="S8" s="434" t="str">
        <f t="shared" ref="S8:S27" ca="1" si="3">IF((N8-TODAY())/7&gt;=0,"En tiempo","Alerta")</f>
        <v>En tiempo</v>
      </c>
      <c r="T8" s="292">
        <v>0.6</v>
      </c>
      <c r="U8" s="408">
        <f t="shared" ref="U8:U27" si="4">IF(T8/H8=1,1,+T8/H8)</f>
        <v>0.6</v>
      </c>
      <c r="V8" s="408" t="str">
        <f t="shared" ref="V8:V27" si="5">IF(R8&gt;O8,0%,IF(R8&lt;=0,"100%",1-(R8/O8)))</f>
        <v>100%</v>
      </c>
      <c r="W8" s="435" t="str">
        <f t="shared" ref="W8:W27" si="6">IF(P8&lt;=N8,"Cumple","Incumple")</f>
        <v>Cumple</v>
      </c>
      <c r="X8" s="284" t="s">
        <v>1413</v>
      </c>
      <c r="Y8" s="285" t="s">
        <v>1414</v>
      </c>
      <c r="Z8" s="408">
        <f t="shared" ref="Z8:Z27" si="7">(U8+V8)/2</f>
        <v>0.8</v>
      </c>
      <c r="AA8" s="436"/>
      <c r="AB8" s="436"/>
      <c r="AC8" s="437"/>
      <c r="AD8" s="438"/>
    </row>
    <row r="9" spans="1:30" s="226" customFormat="1" ht="128.25" x14ac:dyDescent="0.2">
      <c r="A9" s="993"/>
      <c r="B9" s="991"/>
      <c r="C9" s="997"/>
      <c r="D9" s="997"/>
      <c r="E9" s="997"/>
      <c r="F9" s="519" t="s">
        <v>1415</v>
      </c>
      <c r="G9" s="519" t="s">
        <v>1416</v>
      </c>
      <c r="H9" s="520">
        <v>1</v>
      </c>
      <c r="I9" s="519" t="s">
        <v>1411</v>
      </c>
      <c r="J9" s="519" t="s">
        <v>501</v>
      </c>
      <c r="K9" s="519" t="s">
        <v>61</v>
      </c>
      <c r="L9" s="519" t="s">
        <v>1417</v>
      </c>
      <c r="M9" s="521">
        <v>45293</v>
      </c>
      <c r="N9" s="784">
        <v>45838</v>
      </c>
      <c r="O9" s="785">
        <f t="shared" si="1"/>
        <v>77.857142857142861</v>
      </c>
      <c r="P9" s="786">
        <v>45679</v>
      </c>
      <c r="Q9" s="786">
        <f t="shared" si="0"/>
        <v>45679</v>
      </c>
      <c r="R9" s="433">
        <f t="shared" si="2"/>
        <v>-22.714285714285715</v>
      </c>
      <c r="S9" s="434" t="str">
        <f t="shared" ca="1" si="3"/>
        <v>En tiempo</v>
      </c>
      <c r="T9" s="292">
        <v>0.5</v>
      </c>
      <c r="U9" s="408">
        <f t="shared" si="4"/>
        <v>0.5</v>
      </c>
      <c r="V9" s="408" t="str">
        <f t="shared" si="5"/>
        <v>100%</v>
      </c>
      <c r="W9" s="435" t="str">
        <f t="shared" si="6"/>
        <v>Cumple</v>
      </c>
      <c r="X9" s="284" t="s">
        <v>1418</v>
      </c>
      <c r="Y9" s="245" t="s">
        <v>1419</v>
      </c>
      <c r="Z9" s="408">
        <f t="shared" si="7"/>
        <v>0.75</v>
      </c>
      <c r="AA9" s="436"/>
      <c r="AB9" s="436"/>
      <c r="AC9" s="437"/>
      <c r="AD9" s="438"/>
    </row>
    <row r="10" spans="1:30" s="226" customFormat="1" ht="299.25" x14ac:dyDescent="0.2">
      <c r="A10" s="992" t="s">
        <v>202</v>
      </c>
      <c r="B10" s="990" t="s">
        <v>53</v>
      </c>
      <c r="C10" s="998" t="s">
        <v>1420</v>
      </c>
      <c r="D10" s="998" t="s">
        <v>1421</v>
      </c>
      <c r="E10" s="998" t="s">
        <v>1422</v>
      </c>
      <c r="F10" s="519" t="s">
        <v>1423</v>
      </c>
      <c r="G10" s="519" t="s">
        <v>1424</v>
      </c>
      <c r="H10" s="520">
        <v>1</v>
      </c>
      <c r="I10" s="519" t="s">
        <v>1411</v>
      </c>
      <c r="J10" s="519" t="s">
        <v>501</v>
      </c>
      <c r="K10" s="519" t="s">
        <v>61</v>
      </c>
      <c r="L10" s="519" t="s">
        <v>1425</v>
      </c>
      <c r="M10" s="521">
        <v>45293</v>
      </c>
      <c r="N10" s="784">
        <v>45838</v>
      </c>
      <c r="O10" s="785">
        <f t="shared" si="1"/>
        <v>77.857142857142861</v>
      </c>
      <c r="P10" s="786">
        <v>45679</v>
      </c>
      <c r="Q10" s="786">
        <f t="shared" si="0"/>
        <v>45679</v>
      </c>
      <c r="R10" s="433">
        <f t="shared" si="2"/>
        <v>-22.714285714285715</v>
      </c>
      <c r="S10" s="434" t="str">
        <f t="shared" ca="1" si="3"/>
        <v>En tiempo</v>
      </c>
      <c r="T10" s="292">
        <v>0.3</v>
      </c>
      <c r="U10" s="408">
        <f t="shared" ref="U10:U12" si="8">IF(T10/H10=1,1,+T10/H10)</f>
        <v>0.3</v>
      </c>
      <c r="V10" s="408" t="str">
        <f t="shared" ref="V10:V12" si="9">IF(R10&gt;O10,0%,IF(R10&lt;=0,"100%",1-(R10/O10)))</f>
        <v>100%</v>
      </c>
      <c r="W10" s="435" t="str">
        <f t="shared" si="6"/>
        <v>Cumple</v>
      </c>
      <c r="X10" s="284" t="s">
        <v>1426</v>
      </c>
      <c r="Y10" s="245" t="s">
        <v>1427</v>
      </c>
      <c r="Z10" s="408">
        <f t="shared" si="7"/>
        <v>0.65</v>
      </c>
      <c r="AA10" s="436"/>
      <c r="AB10" s="436"/>
      <c r="AC10" s="437"/>
      <c r="AD10" s="438"/>
    </row>
    <row r="11" spans="1:30" s="226" customFormat="1" ht="51.75" customHeight="1" x14ac:dyDescent="0.2">
      <c r="A11" s="995"/>
      <c r="B11" s="994"/>
      <c r="C11" s="999"/>
      <c r="D11" s="999"/>
      <c r="E11" s="999"/>
      <c r="F11" s="519" t="s">
        <v>1428</v>
      </c>
      <c r="G11" s="519" t="s">
        <v>1429</v>
      </c>
      <c r="H11" s="520">
        <v>1</v>
      </c>
      <c r="I11" s="519" t="s">
        <v>1411</v>
      </c>
      <c r="J11" s="519" t="s">
        <v>501</v>
      </c>
      <c r="K11" s="519" t="s">
        <v>61</v>
      </c>
      <c r="L11" s="519" t="s">
        <v>1430</v>
      </c>
      <c r="M11" s="521">
        <v>45293</v>
      </c>
      <c r="N11" s="784">
        <v>45838</v>
      </c>
      <c r="O11" s="785">
        <f t="shared" si="1"/>
        <v>77.857142857142861</v>
      </c>
      <c r="P11" s="786">
        <v>45679</v>
      </c>
      <c r="Q11" s="786">
        <f t="shared" si="0"/>
        <v>45679</v>
      </c>
      <c r="R11" s="433">
        <f t="shared" si="2"/>
        <v>-22.714285714285715</v>
      </c>
      <c r="S11" s="434" t="str">
        <f t="shared" ca="1" si="3"/>
        <v>En tiempo</v>
      </c>
      <c r="T11" s="292">
        <v>0</v>
      </c>
      <c r="U11" s="408">
        <f t="shared" si="8"/>
        <v>0</v>
      </c>
      <c r="V11" s="408" t="str">
        <f t="shared" si="9"/>
        <v>100%</v>
      </c>
      <c r="W11" s="435" t="str">
        <f t="shared" si="6"/>
        <v>Cumple</v>
      </c>
      <c r="X11" s="286" t="s">
        <v>1431</v>
      </c>
      <c r="Y11" s="245" t="s">
        <v>1432</v>
      </c>
      <c r="Z11" s="408">
        <f t="shared" si="7"/>
        <v>0.5</v>
      </c>
      <c r="AA11" s="436"/>
      <c r="AB11" s="436"/>
      <c r="AC11" s="437"/>
      <c r="AD11" s="438"/>
    </row>
    <row r="12" spans="1:30" s="226" customFormat="1" ht="81" customHeight="1" x14ac:dyDescent="0.2">
      <c r="A12" s="995"/>
      <c r="B12" s="994"/>
      <c r="C12" s="999"/>
      <c r="D12" s="999"/>
      <c r="E12" s="999"/>
      <c r="F12" s="519" t="s">
        <v>1433</v>
      </c>
      <c r="G12" s="519" t="s">
        <v>1434</v>
      </c>
      <c r="H12" s="520">
        <v>1</v>
      </c>
      <c r="I12" s="519" t="s">
        <v>1411</v>
      </c>
      <c r="J12" s="519" t="s">
        <v>501</v>
      </c>
      <c r="K12" s="519" t="s">
        <v>61</v>
      </c>
      <c r="L12" s="519" t="s">
        <v>1435</v>
      </c>
      <c r="M12" s="521">
        <v>45293</v>
      </c>
      <c r="N12" s="784">
        <v>45838</v>
      </c>
      <c r="O12" s="785">
        <f t="shared" si="1"/>
        <v>77.857142857142861</v>
      </c>
      <c r="P12" s="786">
        <v>45679</v>
      </c>
      <c r="Q12" s="786">
        <f t="shared" si="0"/>
        <v>45679</v>
      </c>
      <c r="R12" s="433">
        <f t="shared" si="2"/>
        <v>-22.714285714285715</v>
      </c>
      <c r="S12" s="434" t="str">
        <f t="shared" ca="1" si="3"/>
        <v>En tiempo</v>
      </c>
      <c r="T12" s="292">
        <v>0</v>
      </c>
      <c r="U12" s="408">
        <f t="shared" si="8"/>
        <v>0</v>
      </c>
      <c r="V12" s="408" t="str">
        <f t="shared" si="9"/>
        <v>100%</v>
      </c>
      <c r="W12" s="435" t="str">
        <f t="shared" si="6"/>
        <v>Cumple</v>
      </c>
      <c r="X12" s="286" t="s">
        <v>1436</v>
      </c>
      <c r="Y12" s="245" t="s">
        <v>1437</v>
      </c>
      <c r="Z12" s="408">
        <f t="shared" si="7"/>
        <v>0.5</v>
      </c>
      <c r="AA12" s="436"/>
      <c r="AB12" s="436"/>
      <c r="AC12" s="437"/>
      <c r="AD12" s="438"/>
    </row>
    <row r="13" spans="1:30" s="226" customFormat="1" ht="66" customHeight="1" x14ac:dyDescent="0.2">
      <c r="A13" s="993"/>
      <c r="B13" s="991"/>
      <c r="C13" s="1000"/>
      <c r="D13" s="1000"/>
      <c r="E13" s="1000"/>
      <c r="F13" s="519" t="s">
        <v>1438</v>
      </c>
      <c r="G13" s="519" t="s">
        <v>1439</v>
      </c>
      <c r="H13" s="520">
        <v>1</v>
      </c>
      <c r="I13" s="519" t="s">
        <v>1411</v>
      </c>
      <c r="J13" s="519" t="s">
        <v>501</v>
      </c>
      <c r="K13" s="519" t="s">
        <v>61</v>
      </c>
      <c r="L13" s="519" t="s">
        <v>1440</v>
      </c>
      <c r="M13" s="521">
        <v>45293</v>
      </c>
      <c r="N13" s="784">
        <v>45838</v>
      </c>
      <c r="O13" s="785">
        <f t="shared" si="1"/>
        <v>77.857142857142861</v>
      </c>
      <c r="P13" s="786">
        <v>45679</v>
      </c>
      <c r="Q13" s="786">
        <f t="shared" si="0"/>
        <v>45679</v>
      </c>
      <c r="R13" s="433">
        <f t="shared" si="2"/>
        <v>-22.714285714285715</v>
      </c>
      <c r="S13" s="434" t="str">
        <f t="shared" ca="1" si="3"/>
        <v>En tiempo</v>
      </c>
      <c r="T13" s="292">
        <v>0</v>
      </c>
      <c r="U13" s="408">
        <f t="shared" si="4"/>
        <v>0</v>
      </c>
      <c r="V13" s="408" t="str">
        <f t="shared" si="5"/>
        <v>100%</v>
      </c>
      <c r="W13" s="435" t="str">
        <f t="shared" si="6"/>
        <v>Cumple</v>
      </c>
      <c r="X13" s="286" t="s">
        <v>1441</v>
      </c>
      <c r="Y13" s="245" t="s">
        <v>1442</v>
      </c>
      <c r="Z13" s="408">
        <f t="shared" si="7"/>
        <v>0.5</v>
      </c>
      <c r="AA13" s="436"/>
      <c r="AB13" s="436"/>
      <c r="AC13" s="437"/>
      <c r="AD13" s="438"/>
    </row>
    <row r="14" spans="1:30" s="226" customFormat="1" ht="141.75" x14ac:dyDescent="0.2">
      <c r="A14" s="486" t="s">
        <v>202</v>
      </c>
      <c r="B14" s="491" t="s">
        <v>53</v>
      </c>
      <c r="C14" s="519" t="s">
        <v>1443</v>
      </c>
      <c r="D14" s="519" t="s">
        <v>1444</v>
      </c>
      <c r="E14" s="519" t="s">
        <v>1445</v>
      </c>
      <c r="F14" s="519" t="s">
        <v>1446</v>
      </c>
      <c r="G14" s="519" t="s">
        <v>1447</v>
      </c>
      <c r="H14" s="520">
        <v>1</v>
      </c>
      <c r="I14" s="519" t="s">
        <v>1402</v>
      </c>
      <c r="J14" s="519" t="s">
        <v>501</v>
      </c>
      <c r="K14" s="519" t="s">
        <v>61</v>
      </c>
      <c r="L14" s="519" t="s">
        <v>1448</v>
      </c>
      <c r="M14" s="521">
        <v>45293</v>
      </c>
      <c r="N14" s="784">
        <v>45838</v>
      </c>
      <c r="O14" s="785">
        <f t="shared" si="1"/>
        <v>77.857142857142861</v>
      </c>
      <c r="P14" s="786">
        <v>45679</v>
      </c>
      <c r="Q14" s="786">
        <f t="shared" si="0"/>
        <v>45679</v>
      </c>
      <c r="R14" s="433">
        <f t="shared" si="2"/>
        <v>-22.714285714285715</v>
      </c>
      <c r="S14" s="434" t="str">
        <f t="shared" ca="1" si="3"/>
        <v>En tiempo</v>
      </c>
      <c r="T14" s="292">
        <v>0</v>
      </c>
      <c r="U14" s="408">
        <f t="shared" si="4"/>
        <v>0</v>
      </c>
      <c r="V14" s="408" t="str">
        <f t="shared" si="5"/>
        <v>100%</v>
      </c>
      <c r="W14" s="435" t="str">
        <f t="shared" si="6"/>
        <v>Cumple</v>
      </c>
      <c r="X14" s="287" t="s">
        <v>1441</v>
      </c>
      <c r="Y14" s="288" t="s">
        <v>1449</v>
      </c>
      <c r="Z14" s="408">
        <f t="shared" si="7"/>
        <v>0.5</v>
      </c>
      <c r="AA14" s="436"/>
      <c r="AB14" s="436"/>
      <c r="AC14" s="437"/>
      <c r="AD14" s="438"/>
    </row>
    <row r="15" spans="1:30" s="226" customFormat="1" ht="261.75" customHeight="1" x14ac:dyDescent="0.2">
      <c r="A15" s="992" t="s">
        <v>202</v>
      </c>
      <c r="B15" s="990" t="s">
        <v>53</v>
      </c>
      <c r="C15" s="997" t="s">
        <v>1450</v>
      </c>
      <c r="D15" s="997" t="s">
        <v>1451</v>
      </c>
      <c r="E15" s="997" t="s">
        <v>1452</v>
      </c>
      <c r="F15" s="519" t="s">
        <v>1453</v>
      </c>
      <c r="G15" s="519" t="s">
        <v>1454</v>
      </c>
      <c r="H15" s="520">
        <v>1</v>
      </c>
      <c r="I15" s="519" t="s">
        <v>1455</v>
      </c>
      <c r="J15" s="519" t="s">
        <v>501</v>
      </c>
      <c r="K15" s="519" t="s">
        <v>61</v>
      </c>
      <c r="L15" s="519" t="s">
        <v>1456</v>
      </c>
      <c r="M15" s="521">
        <v>45293</v>
      </c>
      <c r="N15" s="784">
        <v>45838</v>
      </c>
      <c r="O15" s="785">
        <f t="shared" si="1"/>
        <v>77.857142857142861</v>
      </c>
      <c r="P15" s="786">
        <v>45679</v>
      </c>
      <c r="Q15" s="786">
        <f t="shared" si="0"/>
        <v>45679</v>
      </c>
      <c r="R15" s="433">
        <f t="shared" si="2"/>
        <v>-22.714285714285715</v>
      </c>
      <c r="S15" s="434" t="str">
        <f t="shared" ca="1" si="3"/>
        <v>En tiempo</v>
      </c>
      <c r="T15" s="292">
        <v>0.4</v>
      </c>
      <c r="U15" s="408">
        <f>IF(T15/H15=1,1,+T15/H15)</f>
        <v>0.4</v>
      </c>
      <c r="V15" s="408" t="str">
        <f t="shared" si="5"/>
        <v>100%</v>
      </c>
      <c r="W15" s="435" t="str">
        <f t="shared" si="6"/>
        <v>Cumple</v>
      </c>
      <c r="X15" s="286" t="s">
        <v>1457</v>
      </c>
      <c r="Y15" s="289" t="s">
        <v>1458</v>
      </c>
      <c r="Z15" s="408">
        <f t="shared" si="7"/>
        <v>0.7</v>
      </c>
      <c r="AA15" s="436"/>
      <c r="AB15" s="436"/>
      <c r="AC15" s="437"/>
      <c r="AD15" s="438"/>
    </row>
    <row r="16" spans="1:30" s="226" customFormat="1" ht="225" customHeight="1" x14ac:dyDescent="0.2">
      <c r="A16" s="993"/>
      <c r="B16" s="991"/>
      <c r="C16" s="997"/>
      <c r="D16" s="997"/>
      <c r="E16" s="997"/>
      <c r="F16" s="519" t="s">
        <v>1459</v>
      </c>
      <c r="G16" s="519" t="s">
        <v>1460</v>
      </c>
      <c r="H16" s="520">
        <v>1</v>
      </c>
      <c r="I16" s="519" t="s">
        <v>1461</v>
      </c>
      <c r="J16" s="519" t="s">
        <v>501</v>
      </c>
      <c r="K16" s="519" t="s">
        <v>61</v>
      </c>
      <c r="L16" s="519" t="s">
        <v>1462</v>
      </c>
      <c r="M16" s="521">
        <v>45293</v>
      </c>
      <c r="N16" s="784">
        <v>45838</v>
      </c>
      <c r="O16" s="785">
        <f t="shared" si="1"/>
        <v>77.857142857142861</v>
      </c>
      <c r="P16" s="786">
        <v>45679</v>
      </c>
      <c r="Q16" s="786">
        <f t="shared" si="0"/>
        <v>45679</v>
      </c>
      <c r="R16" s="433">
        <f t="shared" si="2"/>
        <v>-22.714285714285715</v>
      </c>
      <c r="S16" s="434" t="str">
        <f t="shared" ca="1" si="3"/>
        <v>En tiempo</v>
      </c>
      <c r="T16" s="292">
        <v>0.1</v>
      </c>
      <c r="U16" s="408">
        <f t="shared" si="4"/>
        <v>0.1</v>
      </c>
      <c r="V16" s="408" t="str">
        <f t="shared" si="5"/>
        <v>100%</v>
      </c>
      <c r="W16" s="435" t="str">
        <f t="shared" si="6"/>
        <v>Cumple</v>
      </c>
      <c r="X16" s="284" t="s">
        <v>1463</v>
      </c>
      <c r="Y16" s="245" t="s">
        <v>1464</v>
      </c>
      <c r="Z16" s="408">
        <f t="shared" si="7"/>
        <v>0.55000000000000004</v>
      </c>
      <c r="AA16" s="436"/>
      <c r="AB16" s="436"/>
      <c r="AC16" s="437"/>
      <c r="AD16" s="438"/>
    </row>
    <row r="17" spans="1:30" s="226" customFormat="1" ht="79.5" customHeight="1" x14ac:dyDescent="0.2">
      <c r="A17" s="992" t="s">
        <v>202</v>
      </c>
      <c r="B17" s="990" t="s">
        <v>53</v>
      </c>
      <c r="C17" s="997" t="s">
        <v>1465</v>
      </c>
      <c r="D17" s="997" t="s">
        <v>1466</v>
      </c>
      <c r="E17" s="997" t="s">
        <v>1467</v>
      </c>
      <c r="F17" s="519" t="s">
        <v>1468</v>
      </c>
      <c r="G17" s="519" t="s">
        <v>1469</v>
      </c>
      <c r="H17" s="520">
        <v>1</v>
      </c>
      <c r="I17" s="519" t="s">
        <v>1461</v>
      </c>
      <c r="J17" s="519" t="s">
        <v>501</v>
      </c>
      <c r="K17" s="519" t="s">
        <v>61</v>
      </c>
      <c r="L17" s="519" t="s">
        <v>1470</v>
      </c>
      <c r="M17" s="521">
        <v>45293</v>
      </c>
      <c r="N17" s="784">
        <v>45838</v>
      </c>
      <c r="O17" s="785">
        <f t="shared" si="1"/>
        <v>77.857142857142861</v>
      </c>
      <c r="P17" s="786">
        <v>45679</v>
      </c>
      <c r="Q17" s="786">
        <f t="shared" si="0"/>
        <v>45679</v>
      </c>
      <c r="R17" s="433">
        <f t="shared" si="2"/>
        <v>-22.714285714285715</v>
      </c>
      <c r="S17" s="434" t="str">
        <f t="shared" ca="1" si="3"/>
        <v>En tiempo</v>
      </c>
      <c r="T17" s="292">
        <v>0</v>
      </c>
      <c r="U17" s="408">
        <f t="shared" si="4"/>
        <v>0</v>
      </c>
      <c r="V17" s="408" t="str">
        <f t="shared" si="5"/>
        <v>100%</v>
      </c>
      <c r="W17" s="435" t="str">
        <f t="shared" si="6"/>
        <v>Cumple</v>
      </c>
      <c r="X17" s="286" t="s">
        <v>1441</v>
      </c>
      <c r="Y17" s="245" t="s">
        <v>1471</v>
      </c>
      <c r="Z17" s="408">
        <f t="shared" si="7"/>
        <v>0.5</v>
      </c>
      <c r="AA17" s="436"/>
      <c r="AB17" s="436"/>
      <c r="AC17" s="437"/>
      <c r="AD17" s="438"/>
    </row>
    <row r="18" spans="1:30" s="226" customFormat="1" ht="150.75" customHeight="1" x14ac:dyDescent="0.2">
      <c r="A18" s="993"/>
      <c r="B18" s="991"/>
      <c r="C18" s="997"/>
      <c r="D18" s="997"/>
      <c r="E18" s="997"/>
      <c r="F18" s="519" t="s">
        <v>1472</v>
      </c>
      <c r="G18" s="519" t="s">
        <v>1473</v>
      </c>
      <c r="H18" s="520">
        <v>1</v>
      </c>
      <c r="I18" s="519" t="s">
        <v>1461</v>
      </c>
      <c r="J18" s="519" t="s">
        <v>501</v>
      </c>
      <c r="K18" s="519" t="s">
        <v>61</v>
      </c>
      <c r="L18" s="519" t="s">
        <v>1474</v>
      </c>
      <c r="M18" s="521">
        <v>45293</v>
      </c>
      <c r="N18" s="784">
        <v>45838</v>
      </c>
      <c r="O18" s="785">
        <f t="shared" si="1"/>
        <v>77.857142857142861</v>
      </c>
      <c r="P18" s="786">
        <v>45679</v>
      </c>
      <c r="Q18" s="786">
        <f t="shared" si="0"/>
        <v>45679</v>
      </c>
      <c r="R18" s="433">
        <f t="shared" si="2"/>
        <v>-22.714285714285715</v>
      </c>
      <c r="S18" s="434" t="str">
        <f t="shared" ca="1" si="3"/>
        <v>En tiempo</v>
      </c>
      <c r="T18" s="292">
        <v>0</v>
      </c>
      <c r="U18" s="408">
        <f t="shared" si="4"/>
        <v>0</v>
      </c>
      <c r="V18" s="408" t="str">
        <f t="shared" si="5"/>
        <v>100%</v>
      </c>
      <c r="W18" s="435" t="str">
        <f t="shared" si="6"/>
        <v>Cumple</v>
      </c>
      <c r="X18" s="286" t="s">
        <v>1441</v>
      </c>
      <c r="Y18" s="245" t="s">
        <v>1475</v>
      </c>
      <c r="Z18" s="408">
        <f t="shared" si="7"/>
        <v>0.5</v>
      </c>
      <c r="AA18" s="436"/>
      <c r="AB18" s="436"/>
      <c r="AC18" s="437"/>
      <c r="AD18" s="438"/>
    </row>
    <row r="19" spans="1:30" s="226" customFormat="1" ht="93" customHeight="1" x14ac:dyDescent="0.2">
      <c r="A19" s="486" t="s">
        <v>202</v>
      </c>
      <c r="B19" s="491" t="s">
        <v>53</v>
      </c>
      <c r="C19" s="519" t="s">
        <v>1476</v>
      </c>
      <c r="D19" s="519" t="s">
        <v>1477</v>
      </c>
      <c r="E19" s="519" t="s">
        <v>1478</v>
      </c>
      <c r="F19" s="519" t="s">
        <v>1479</v>
      </c>
      <c r="G19" s="519" t="s">
        <v>1480</v>
      </c>
      <c r="H19" s="520">
        <v>1</v>
      </c>
      <c r="I19" s="519" t="s">
        <v>1411</v>
      </c>
      <c r="J19" s="519" t="s">
        <v>501</v>
      </c>
      <c r="K19" s="519" t="s">
        <v>61</v>
      </c>
      <c r="L19" s="519" t="s">
        <v>1481</v>
      </c>
      <c r="M19" s="521">
        <v>45293</v>
      </c>
      <c r="N19" s="784">
        <v>45838</v>
      </c>
      <c r="O19" s="785">
        <f t="shared" si="1"/>
        <v>77.857142857142861</v>
      </c>
      <c r="P19" s="786">
        <v>45679</v>
      </c>
      <c r="Q19" s="786">
        <f t="shared" si="0"/>
        <v>45679</v>
      </c>
      <c r="R19" s="433">
        <f t="shared" si="2"/>
        <v>-22.714285714285715</v>
      </c>
      <c r="S19" s="434" t="str">
        <f t="shared" ca="1" si="3"/>
        <v>En tiempo</v>
      </c>
      <c r="T19" s="292">
        <v>0</v>
      </c>
      <c r="U19" s="408">
        <f t="shared" si="4"/>
        <v>0</v>
      </c>
      <c r="V19" s="408" t="str">
        <f t="shared" si="5"/>
        <v>100%</v>
      </c>
      <c r="W19" s="435" t="str">
        <f t="shared" si="6"/>
        <v>Cumple</v>
      </c>
      <c r="X19" s="286" t="s">
        <v>1441</v>
      </c>
      <c r="Y19" s="245" t="s">
        <v>1482</v>
      </c>
      <c r="Z19" s="408">
        <f t="shared" si="7"/>
        <v>0.5</v>
      </c>
      <c r="AA19" s="436"/>
      <c r="AB19" s="436"/>
      <c r="AC19" s="437"/>
      <c r="AD19" s="438"/>
    </row>
    <row r="20" spans="1:30" s="226" customFormat="1" ht="341.25" customHeight="1" x14ac:dyDescent="0.2">
      <c r="A20" s="486" t="s">
        <v>202</v>
      </c>
      <c r="B20" s="491" t="s">
        <v>53</v>
      </c>
      <c r="C20" s="519" t="s">
        <v>1483</v>
      </c>
      <c r="D20" s="997" t="s">
        <v>1484</v>
      </c>
      <c r="E20" s="997" t="s">
        <v>1485</v>
      </c>
      <c r="F20" s="519" t="s">
        <v>1486</v>
      </c>
      <c r="G20" s="519" t="s">
        <v>1487</v>
      </c>
      <c r="H20" s="520">
        <v>1</v>
      </c>
      <c r="I20" s="519" t="s">
        <v>1411</v>
      </c>
      <c r="J20" s="519" t="s">
        <v>501</v>
      </c>
      <c r="K20" s="519" t="s">
        <v>61</v>
      </c>
      <c r="L20" s="519" t="s">
        <v>1487</v>
      </c>
      <c r="M20" s="521">
        <v>45293</v>
      </c>
      <c r="N20" s="784">
        <v>45838</v>
      </c>
      <c r="O20" s="785">
        <f t="shared" si="1"/>
        <v>77.857142857142861</v>
      </c>
      <c r="P20" s="786">
        <v>45679</v>
      </c>
      <c r="Q20" s="786">
        <f t="shared" ref="Q20:Q27" si="10">P20</f>
        <v>45679</v>
      </c>
      <c r="R20" s="433">
        <f t="shared" si="2"/>
        <v>-22.714285714285715</v>
      </c>
      <c r="S20" s="434" t="str">
        <f t="shared" ca="1" si="3"/>
        <v>En tiempo</v>
      </c>
      <c r="T20" s="292">
        <v>0.1</v>
      </c>
      <c r="U20" s="408">
        <f t="shared" si="4"/>
        <v>0.1</v>
      </c>
      <c r="V20" s="408" t="str">
        <f t="shared" si="5"/>
        <v>100%</v>
      </c>
      <c r="W20" s="435" t="str">
        <f t="shared" si="6"/>
        <v>Cumple</v>
      </c>
      <c r="X20" s="284" t="s">
        <v>1488</v>
      </c>
      <c r="Y20" s="245" t="s">
        <v>1489</v>
      </c>
      <c r="Z20" s="408">
        <f t="shared" si="7"/>
        <v>0.55000000000000004</v>
      </c>
      <c r="AA20" s="436"/>
      <c r="AB20" s="436"/>
      <c r="AC20" s="437"/>
      <c r="AD20" s="438"/>
    </row>
    <row r="21" spans="1:30" s="226" customFormat="1" ht="156.75" customHeight="1" x14ac:dyDescent="0.2">
      <c r="A21" s="486" t="s">
        <v>202</v>
      </c>
      <c r="B21" s="491" t="s">
        <v>53</v>
      </c>
      <c r="C21" s="519" t="s">
        <v>1490</v>
      </c>
      <c r="D21" s="997"/>
      <c r="E21" s="997"/>
      <c r="F21" s="519" t="s">
        <v>1491</v>
      </c>
      <c r="G21" s="519" t="s">
        <v>1492</v>
      </c>
      <c r="H21" s="520">
        <v>1</v>
      </c>
      <c r="I21" s="523" t="s">
        <v>1402</v>
      </c>
      <c r="J21" s="519" t="s">
        <v>501</v>
      </c>
      <c r="K21" s="519" t="s">
        <v>61</v>
      </c>
      <c r="L21" s="519" t="s">
        <v>1492</v>
      </c>
      <c r="M21" s="521">
        <v>45293</v>
      </c>
      <c r="N21" s="784">
        <v>45838</v>
      </c>
      <c r="O21" s="785">
        <f t="shared" si="1"/>
        <v>77.857142857142861</v>
      </c>
      <c r="P21" s="786">
        <v>45679</v>
      </c>
      <c r="Q21" s="786">
        <f t="shared" si="10"/>
        <v>45679</v>
      </c>
      <c r="R21" s="433">
        <f t="shared" si="2"/>
        <v>-22.714285714285715</v>
      </c>
      <c r="S21" s="434" t="str">
        <f t="shared" ca="1" si="3"/>
        <v>En tiempo</v>
      </c>
      <c r="T21" s="292">
        <v>0</v>
      </c>
      <c r="U21" s="408">
        <f t="shared" si="4"/>
        <v>0</v>
      </c>
      <c r="V21" s="408" t="str">
        <f t="shared" si="5"/>
        <v>100%</v>
      </c>
      <c r="W21" s="435" t="str">
        <f>IF(P21&lt;=N21,"Cumple","Incumple")</f>
        <v>Cumple</v>
      </c>
      <c r="X21" s="290" t="s">
        <v>1441</v>
      </c>
      <c r="Y21" s="245" t="s">
        <v>1493</v>
      </c>
      <c r="Z21" s="408">
        <f t="shared" si="7"/>
        <v>0.5</v>
      </c>
      <c r="AA21" s="436"/>
      <c r="AB21" s="436"/>
      <c r="AC21" s="437"/>
      <c r="AD21" s="438"/>
    </row>
    <row r="22" spans="1:30" s="226" customFormat="1" ht="99.75" x14ac:dyDescent="0.2">
      <c r="A22" s="486" t="s">
        <v>202</v>
      </c>
      <c r="B22" s="491" t="s">
        <v>53</v>
      </c>
      <c r="C22" s="519" t="s">
        <v>1494</v>
      </c>
      <c r="D22" s="519" t="s">
        <v>1495</v>
      </c>
      <c r="E22" s="519" t="s">
        <v>1496</v>
      </c>
      <c r="F22" s="519" t="s">
        <v>1497</v>
      </c>
      <c r="G22" s="519" t="s">
        <v>1498</v>
      </c>
      <c r="H22" s="520">
        <v>1</v>
      </c>
      <c r="I22" s="523" t="s">
        <v>1402</v>
      </c>
      <c r="J22" s="519" t="s">
        <v>501</v>
      </c>
      <c r="K22" s="519" t="s">
        <v>61</v>
      </c>
      <c r="L22" s="519" t="s">
        <v>1499</v>
      </c>
      <c r="M22" s="521">
        <v>45293</v>
      </c>
      <c r="N22" s="784">
        <v>45838</v>
      </c>
      <c r="O22" s="785">
        <f t="shared" si="1"/>
        <v>77.857142857142861</v>
      </c>
      <c r="P22" s="786">
        <v>45679</v>
      </c>
      <c r="Q22" s="786">
        <f t="shared" si="10"/>
        <v>45679</v>
      </c>
      <c r="R22" s="433">
        <f t="shared" si="2"/>
        <v>-22.714285714285715</v>
      </c>
      <c r="S22" s="434" t="str">
        <f t="shared" ca="1" si="3"/>
        <v>En tiempo</v>
      </c>
      <c r="T22" s="292">
        <v>0</v>
      </c>
      <c r="U22" s="408">
        <f t="shared" si="4"/>
        <v>0</v>
      </c>
      <c r="V22" s="408" t="str">
        <f t="shared" si="5"/>
        <v>100%</v>
      </c>
      <c r="W22" s="435" t="str">
        <f>IF(P22&lt;=N22,"Cumple","Incumple")</f>
        <v>Cumple</v>
      </c>
      <c r="X22" s="291" t="s">
        <v>1500</v>
      </c>
      <c r="Y22" s="245" t="s">
        <v>1501</v>
      </c>
      <c r="Z22" s="408">
        <f t="shared" si="7"/>
        <v>0.5</v>
      </c>
      <c r="AA22" s="436"/>
      <c r="AB22" s="436"/>
      <c r="AC22" s="437"/>
      <c r="AD22" s="438"/>
    </row>
    <row r="23" spans="1:30" s="226" customFormat="1" ht="75.75" customHeight="1" x14ac:dyDescent="0.2">
      <c r="A23" s="486" t="s">
        <v>202</v>
      </c>
      <c r="B23" s="491" t="s">
        <v>53</v>
      </c>
      <c r="C23" s="519" t="s">
        <v>1502</v>
      </c>
      <c r="D23" s="519" t="s">
        <v>1503</v>
      </c>
      <c r="E23" s="524" t="s">
        <v>1504</v>
      </c>
      <c r="F23" s="519" t="s">
        <v>1505</v>
      </c>
      <c r="G23" s="519" t="s">
        <v>1506</v>
      </c>
      <c r="H23" s="520">
        <v>1</v>
      </c>
      <c r="I23" s="523" t="s">
        <v>1402</v>
      </c>
      <c r="J23" s="519" t="s">
        <v>501</v>
      </c>
      <c r="K23" s="519" t="s">
        <v>61</v>
      </c>
      <c r="L23" s="519" t="s">
        <v>1481</v>
      </c>
      <c r="M23" s="521">
        <v>45293</v>
      </c>
      <c r="N23" s="784">
        <v>45838</v>
      </c>
      <c r="O23" s="785">
        <f t="shared" si="1"/>
        <v>77.857142857142861</v>
      </c>
      <c r="P23" s="786">
        <v>45679</v>
      </c>
      <c r="Q23" s="786">
        <f t="shared" si="10"/>
        <v>45679</v>
      </c>
      <c r="R23" s="433">
        <f t="shared" si="2"/>
        <v>-22.714285714285715</v>
      </c>
      <c r="S23" s="434" t="str">
        <f t="shared" ca="1" si="3"/>
        <v>En tiempo</v>
      </c>
      <c r="T23" s="292">
        <v>0</v>
      </c>
      <c r="U23" s="408">
        <f t="shared" si="4"/>
        <v>0</v>
      </c>
      <c r="V23" s="408" t="str">
        <f t="shared" si="5"/>
        <v>100%</v>
      </c>
      <c r="W23" s="435" t="str">
        <f t="shared" si="6"/>
        <v>Cumple</v>
      </c>
      <c r="X23" s="291" t="s">
        <v>1500</v>
      </c>
      <c r="Y23" s="245" t="s">
        <v>1507</v>
      </c>
      <c r="Z23" s="408">
        <f t="shared" si="7"/>
        <v>0.5</v>
      </c>
      <c r="AA23" s="436"/>
      <c r="AB23" s="436"/>
      <c r="AC23" s="437"/>
      <c r="AD23" s="438"/>
    </row>
    <row r="24" spans="1:30" s="226" customFormat="1" ht="71.25" x14ac:dyDescent="0.2">
      <c r="A24" s="486" t="s">
        <v>202</v>
      </c>
      <c r="B24" s="491" t="s">
        <v>53</v>
      </c>
      <c r="C24" s="519" t="s">
        <v>1508</v>
      </c>
      <c r="D24" s="519" t="s">
        <v>1509</v>
      </c>
      <c r="E24" s="519" t="s">
        <v>1510</v>
      </c>
      <c r="F24" s="519" t="s">
        <v>1511</v>
      </c>
      <c r="G24" s="519" t="s">
        <v>1512</v>
      </c>
      <c r="H24" s="520">
        <v>1</v>
      </c>
      <c r="I24" s="519" t="s">
        <v>1411</v>
      </c>
      <c r="J24" s="519" t="s">
        <v>501</v>
      </c>
      <c r="K24" s="519" t="s">
        <v>61</v>
      </c>
      <c r="L24" s="519" t="s">
        <v>1513</v>
      </c>
      <c r="M24" s="521">
        <v>45293</v>
      </c>
      <c r="N24" s="784">
        <v>45838</v>
      </c>
      <c r="O24" s="785">
        <f t="shared" si="1"/>
        <v>77.857142857142861</v>
      </c>
      <c r="P24" s="786">
        <v>45679</v>
      </c>
      <c r="Q24" s="786">
        <f t="shared" si="10"/>
        <v>45679</v>
      </c>
      <c r="R24" s="433">
        <f t="shared" si="2"/>
        <v>-22.714285714285715</v>
      </c>
      <c r="S24" s="434" t="str">
        <f t="shared" ca="1" si="3"/>
        <v>En tiempo</v>
      </c>
      <c r="T24" s="292">
        <v>0</v>
      </c>
      <c r="U24" s="408">
        <f t="shared" si="4"/>
        <v>0</v>
      </c>
      <c r="V24" s="408" t="str">
        <f t="shared" si="5"/>
        <v>100%</v>
      </c>
      <c r="W24" s="435" t="str">
        <f t="shared" si="6"/>
        <v>Cumple</v>
      </c>
      <c r="X24" s="291" t="s">
        <v>1500</v>
      </c>
      <c r="Y24" s="245" t="s">
        <v>1514</v>
      </c>
      <c r="Z24" s="408">
        <f t="shared" si="7"/>
        <v>0.5</v>
      </c>
      <c r="AA24" s="436"/>
      <c r="AB24" s="436"/>
      <c r="AC24" s="437"/>
      <c r="AD24" s="438"/>
    </row>
    <row r="25" spans="1:30" s="226" customFormat="1" ht="57" x14ac:dyDescent="0.2">
      <c r="A25" s="486" t="s">
        <v>202</v>
      </c>
      <c r="B25" s="491" t="s">
        <v>53</v>
      </c>
      <c r="C25" s="519" t="s">
        <v>1515</v>
      </c>
      <c r="D25" s="519" t="s">
        <v>1516</v>
      </c>
      <c r="E25" s="519" t="s">
        <v>1517</v>
      </c>
      <c r="F25" s="519" t="s">
        <v>1518</v>
      </c>
      <c r="G25" s="519" t="s">
        <v>1006</v>
      </c>
      <c r="H25" s="520">
        <v>1</v>
      </c>
      <c r="I25" s="523" t="s">
        <v>1402</v>
      </c>
      <c r="J25" s="519" t="s">
        <v>501</v>
      </c>
      <c r="K25" s="519" t="s">
        <v>61</v>
      </c>
      <c r="L25" s="519" t="s">
        <v>1519</v>
      </c>
      <c r="M25" s="521">
        <v>45293</v>
      </c>
      <c r="N25" s="784">
        <v>45838</v>
      </c>
      <c r="O25" s="785">
        <f t="shared" si="1"/>
        <v>77.857142857142861</v>
      </c>
      <c r="P25" s="786">
        <v>45679</v>
      </c>
      <c r="Q25" s="786">
        <f t="shared" si="10"/>
        <v>45679</v>
      </c>
      <c r="R25" s="433">
        <f t="shared" si="2"/>
        <v>-22.714285714285715</v>
      </c>
      <c r="S25" s="434" t="str">
        <f t="shared" ca="1" si="3"/>
        <v>En tiempo</v>
      </c>
      <c r="T25" s="292">
        <v>0</v>
      </c>
      <c r="U25" s="408">
        <f t="shared" si="4"/>
        <v>0</v>
      </c>
      <c r="V25" s="408" t="str">
        <f t="shared" si="5"/>
        <v>100%</v>
      </c>
      <c r="W25" s="435" t="str">
        <f t="shared" si="6"/>
        <v>Cumple</v>
      </c>
      <c r="X25" s="291" t="s">
        <v>1500</v>
      </c>
      <c r="Y25" s="245" t="s">
        <v>1520</v>
      </c>
      <c r="Z25" s="408">
        <f t="shared" si="7"/>
        <v>0.5</v>
      </c>
      <c r="AA25" s="436"/>
      <c r="AB25" s="436"/>
      <c r="AC25" s="437"/>
      <c r="AD25" s="438"/>
    </row>
    <row r="26" spans="1:30" s="226" customFormat="1" ht="114" x14ac:dyDescent="0.2">
      <c r="A26" s="486" t="s">
        <v>202</v>
      </c>
      <c r="B26" s="491" t="s">
        <v>53</v>
      </c>
      <c r="C26" s="519" t="s">
        <v>1521</v>
      </c>
      <c r="D26" s="519" t="s">
        <v>1522</v>
      </c>
      <c r="E26" s="519" t="s">
        <v>1523</v>
      </c>
      <c r="F26" s="519" t="s">
        <v>1524</v>
      </c>
      <c r="G26" s="519" t="s">
        <v>1525</v>
      </c>
      <c r="H26" s="520">
        <v>1</v>
      </c>
      <c r="I26" s="519" t="s">
        <v>1411</v>
      </c>
      <c r="J26" s="519" t="s">
        <v>501</v>
      </c>
      <c r="K26" s="519" t="s">
        <v>61</v>
      </c>
      <c r="L26" s="519" t="s">
        <v>1519</v>
      </c>
      <c r="M26" s="521">
        <v>45293</v>
      </c>
      <c r="N26" s="784">
        <v>45838</v>
      </c>
      <c r="O26" s="785">
        <f t="shared" si="1"/>
        <v>77.857142857142861</v>
      </c>
      <c r="P26" s="786">
        <v>45679</v>
      </c>
      <c r="Q26" s="786">
        <f t="shared" si="10"/>
        <v>45679</v>
      </c>
      <c r="R26" s="433">
        <f t="shared" si="2"/>
        <v>-22.714285714285715</v>
      </c>
      <c r="S26" s="434" t="str">
        <f t="shared" ca="1" si="3"/>
        <v>En tiempo</v>
      </c>
      <c r="T26" s="292">
        <v>0</v>
      </c>
      <c r="U26" s="408">
        <f t="shared" si="4"/>
        <v>0</v>
      </c>
      <c r="V26" s="408" t="str">
        <f t="shared" si="5"/>
        <v>100%</v>
      </c>
      <c r="W26" s="435" t="str">
        <f t="shared" si="6"/>
        <v>Cumple</v>
      </c>
      <c r="X26" s="291" t="s">
        <v>1500</v>
      </c>
      <c r="Y26" s="245" t="s">
        <v>1526</v>
      </c>
      <c r="Z26" s="408">
        <f t="shared" si="7"/>
        <v>0.5</v>
      </c>
      <c r="AA26" s="436"/>
      <c r="AB26" s="436"/>
      <c r="AC26" s="437"/>
      <c r="AD26" s="438"/>
    </row>
    <row r="27" spans="1:30" s="226" customFormat="1" ht="187.5" customHeight="1" x14ac:dyDescent="0.2">
      <c r="A27" s="486" t="s">
        <v>202</v>
      </c>
      <c r="B27" s="491" t="s">
        <v>53</v>
      </c>
      <c r="C27" s="519" t="s">
        <v>1527</v>
      </c>
      <c r="D27" s="519" t="s">
        <v>1522</v>
      </c>
      <c r="E27" s="519" t="s">
        <v>1528</v>
      </c>
      <c r="F27" s="519" t="s">
        <v>1518</v>
      </c>
      <c r="G27" s="519" t="s">
        <v>1006</v>
      </c>
      <c r="H27" s="520">
        <v>1</v>
      </c>
      <c r="I27" s="519" t="s">
        <v>1411</v>
      </c>
      <c r="J27" s="519" t="s">
        <v>501</v>
      </c>
      <c r="K27" s="519" t="s">
        <v>61</v>
      </c>
      <c r="L27" s="519" t="s">
        <v>1519</v>
      </c>
      <c r="M27" s="521">
        <v>45293</v>
      </c>
      <c r="N27" s="784">
        <v>45838</v>
      </c>
      <c r="O27" s="785">
        <f t="shared" si="1"/>
        <v>77.857142857142861</v>
      </c>
      <c r="P27" s="786">
        <v>45679</v>
      </c>
      <c r="Q27" s="786">
        <f t="shared" si="10"/>
        <v>45679</v>
      </c>
      <c r="R27" s="433">
        <f>(Q27-M27)/7-O27</f>
        <v>-22.714285714285715</v>
      </c>
      <c r="S27" s="434" t="str">
        <f t="shared" ca="1" si="3"/>
        <v>En tiempo</v>
      </c>
      <c r="T27" s="292">
        <v>0</v>
      </c>
      <c r="U27" s="408">
        <f t="shared" si="4"/>
        <v>0</v>
      </c>
      <c r="V27" s="408" t="str">
        <f t="shared" si="5"/>
        <v>100%</v>
      </c>
      <c r="W27" s="435" t="str">
        <f t="shared" si="6"/>
        <v>Cumple</v>
      </c>
      <c r="X27" s="291" t="s">
        <v>1500</v>
      </c>
      <c r="Y27" s="245" t="s">
        <v>1529</v>
      </c>
      <c r="Z27" s="408">
        <f t="shared" si="7"/>
        <v>0.5</v>
      </c>
      <c r="AA27" s="436"/>
      <c r="AB27" s="436"/>
      <c r="AC27" s="437"/>
      <c r="AD27" s="438"/>
    </row>
    <row r="28" spans="1:30" ht="15" x14ac:dyDescent="0.2">
      <c r="G28" s="62" t="s">
        <v>314</v>
      </c>
      <c r="H28" s="63">
        <f>SUM(H7:H27)</f>
        <v>21</v>
      </c>
      <c r="R28" s="996" t="s">
        <v>195</v>
      </c>
      <c r="S28" s="996"/>
      <c r="T28" s="241">
        <f>SUM(T7:T27)</f>
        <v>2.3000000000000003</v>
      </c>
      <c r="U28" s="242">
        <f>AVERAGE(U7:U27)</f>
        <v>0.10952380952380954</v>
      </c>
      <c r="V28" s="153"/>
      <c r="W28" s="243">
        <f>(COUNTIF(W7:W27,"Cumple")*100%)/COUNTA(W7:W27)</f>
        <v>1</v>
      </c>
      <c r="AA28" s="996" t="s">
        <v>195</v>
      </c>
      <c r="AB28" s="996"/>
      <c r="AC28" s="243" t="e">
        <f>AVERAGE(AC7:AC27)</f>
        <v>#DIV/0!</v>
      </c>
    </row>
  </sheetData>
  <autoFilter ref="A6:AD6" xr:uid="{D5B32C3E-5FA1-4B80-B89A-FCD7BE75C7B3}"/>
  <mergeCells count="50">
    <mergeCell ref="A1:B1"/>
    <mergeCell ref="C1:N1"/>
    <mergeCell ref="O1:P2"/>
    <mergeCell ref="Q1:Y2"/>
    <mergeCell ref="Z1:AD4"/>
    <mergeCell ref="A2:B2"/>
    <mergeCell ref="C2:F2"/>
    <mergeCell ref="G2:H2"/>
    <mergeCell ref="I2:N2"/>
    <mergeCell ref="A3:B3"/>
    <mergeCell ref="Z5:AD5"/>
    <mergeCell ref="C3:F3"/>
    <mergeCell ref="G3:H3"/>
    <mergeCell ref="I3:N3"/>
    <mergeCell ref="O3:P3"/>
    <mergeCell ref="Q3:V3"/>
    <mergeCell ref="C4:F4"/>
    <mergeCell ref="G4:H4"/>
    <mergeCell ref="I4:N4"/>
    <mergeCell ref="O4:P4"/>
    <mergeCell ref="Q4:S4"/>
    <mergeCell ref="T4:U4"/>
    <mergeCell ref="V4:Y4"/>
    <mergeCell ref="A5:N5"/>
    <mergeCell ref="O5:Y5"/>
    <mergeCell ref="A4:B4"/>
    <mergeCell ref="R28:S28"/>
    <mergeCell ref="AA28:AB28"/>
    <mergeCell ref="C8:C9"/>
    <mergeCell ref="D8:D9"/>
    <mergeCell ref="E8:E9"/>
    <mergeCell ref="C15:C16"/>
    <mergeCell ref="D15:D16"/>
    <mergeCell ref="E15:E16"/>
    <mergeCell ref="C17:C18"/>
    <mergeCell ref="D17:D18"/>
    <mergeCell ref="E17:E18"/>
    <mergeCell ref="D20:D21"/>
    <mergeCell ref="E20:E21"/>
    <mergeCell ref="C10:C13"/>
    <mergeCell ref="D10:D13"/>
    <mergeCell ref="E10:E13"/>
    <mergeCell ref="B17:B18"/>
    <mergeCell ref="A17:A18"/>
    <mergeCell ref="B8:B9"/>
    <mergeCell ref="A8:A9"/>
    <mergeCell ref="B10:B13"/>
    <mergeCell ref="A10:A13"/>
    <mergeCell ref="B15:B16"/>
    <mergeCell ref="A15:A16"/>
  </mergeCells>
  <conditionalFormatting sqref="R7:R27">
    <cfRule type="cellIs" dxfId="177" priority="32" operator="greaterThan">
      <formula>0</formula>
    </cfRule>
    <cfRule type="cellIs" dxfId="176" priority="33" operator="lessThan">
      <formula>0</formula>
    </cfRule>
  </conditionalFormatting>
  <conditionalFormatting sqref="S7:S27">
    <cfRule type="containsText" dxfId="175" priority="14" operator="containsText" text="Alerta">
      <formula>NOT(ISERROR(SEARCH("Alerta",S7)))</formula>
    </cfRule>
    <cfRule type="containsText" dxfId="174" priority="15" operator="containsText" text="En tiempo">
      <formula>NOT(ISERROR(SEARCH("En tiempo",S7)))</formula>
    </cfRule>
  </conditionalFormatting>
  <conditionalFormatting sqref="U7:V27 Z7:Z27 U28">
    <cfRule type="cellIs" dxfId="173" priority="1" operator="between">
      <formula>0.29</formula>
      <formula>0</formula>
    </cfRule>
    <cfRule type="cellIs" dxfId="172" priority="2" operator="between">
      <formula>0.49</formula>
      <formula>0.3</formula>
    </cfRule>
    <cfRule type="cellIs" dxfId="171" priority="3" operator="between">
      <formula>0.79</formula>
      <formula>0.5</formula>
    </cfRule>
    <cfRule type="cellIs" dxfId="170" priority="4" operator="between">
      <formula>1</formula>
      <formula>0.8</formula>
    </cfRule>
  </conditionalFormatting>
  <conditionalFormatting sqref="W7:W27">
    <cfRule type="containsText" dxfId="169" priority="12" operator="containsText" text="Incumple">
      <formula>NOT(ISERROR(SEARCH("Incumple",W7)))</formula>
    </cfRule>
    <cfRule type="containsText" dxfId="168" priority="13" operator="containsText" text="Cumple">
      <formula>NOT(ISERROR(SEARCH("Cumple",W7)))</formula>
    </cfRule>
  </conditionalFormatting>
  <conditionalFormatting sqref="W28">
    <cfRule type="cellIs" dxfId="167" priority="24" operator="between">
      <formula>0.19</formula>
      <formula>0</formula>
    </cfRule>
    <cfRule type="cellIs" dxfId="166" priority="25" operator="between">
      <formula>0.49</formula>
      <formula>0.2</formula>
    </cfRule>
    <cfRule type="cellIs" dxfId="165" priority="26" operator="between">
      <formula>0.89</formula>
      <formula>0.5</formula>
    </cfRule>
    <cfRule type="cellIs" dxfId="164" priority="27" operator="between">
      <formula>1</formula>
      <formula>0.9</formula>
    </cfRule>
  </conditionalFormatting>
  <conditionalFormatting sqref="AC7:AC28">
    <cfRule type="cellIs" dxfId="163" priority="5" operator="between">
      <formula>0.3</formula>
      <formula>0</formula>
    </cfRule>
    <cfRule type="cellIs" dxfId="162" priority="6" operator="between">
      <formula>0.6999</formula>
      <formula>0.3111</formula>
    </cfRule>
    <cfRule type="cellIs" dxfId="161" priority="7" operator="between">
      <formula>1</formula>
      <formula>0.7</formula>
    </cfRule>
  </conditionalFormatting>
  <dataValidations count="3">
    <dataValidation allowBlank="1" showInputMessage="1" showErrorMessage="1" errorTitle="Estado" error="No es un estado de los Planes de Mejoramiento" sqref="Q4:S4" xr:uid="{8BCB6494-54DF-4D56-99A7-3EF9DFD48766}"/>
    <dataValidation type="list" allowBlank="1" showInputMessage="1" showErrorMessage="1" sqref="B7:B8 B10 B14:B15 B17 B19:B27" xr:uid="{2F0A3EEB-1C8B-4545-9576-8B8818FC4498}">
      <formula1>"No conformidad,Oportunidad de Mejora,Observación OCI,Hallazgo CGR"</formula1>
    </dataValidation>
    <dataValidation type="list" allowBlank="1" showInputMessage="1" showErrorMessage="1" sqref="A7:A8 A10 A14:A15 A17 A19:A27" xr:uid="{A6E1EB1C-7520-445B-B099-A09CE303F478}">
      <formula1>"Autoevaluación,Evaluación de Pares,Auditoría Interna,Evaluación Externa ICONTEC,Auditoría Interna Control Interno,Servicio No Conforme,Auditoría Externa CGR"</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6A99F-9A2D-423A-A039-C215F5536FCF}">
  <sheetPr>
    <tabColor rgb="FF00B0F0"/>
  </sheetPr>
  <dimension ref="A1:BB34"/>
  <sheetViews>
    <sheetView topLeftCell="F1" zoomScale="82" zoomScaleNormal="82" workbookViewId="0">
      <selection activeCell="T7" sqref="T7"/>
    </sheetView>
  </sheetViews>
  <sheetFormatPr baseColWidth="10" defaultColWidth="17.5703125" defaultRowHeight="12.75" x14ac:dyDescent="0.2"/>
  <cols>
    <col min="1" max="1" width="12.140625" style="53" customWidth="1"/>
    <col min="2" max="2" width="12.85546875" style="53" customWidth="1"/>
    <col min="3" max="3" width="52.140625" style="53" customWidth="1"/>
    <col min="4" max="4" width="32.85546875" style="53" customWidth="1"/>
    <col min="5" max="5" width="30.7109375" style="53" customWidth="1"/>
    <col min="6" max="6" width="38.140625" style="53" customWidth="1"/>
    <col min="7" max="7" width="32.85546875" style="53" customWidth="1"/>
    <col min="8" max="8" width="13" style="53" customWidth="1"/>
    <col min="9" max="9" width="26.5703125" style="53" customWidth="1"/>
    <col min="10" max="10" width="13.7109375" style="53" customWidth="1"/>
    <col min="11" max="11" width="21.42578125" style="53" customWidth="1"/>
    <col min="12" max="12" width="20.5703125" style="53" customWidth="1"/>
    <col min="13" max="14" width="13.42578125" style="53" customWidth="1"/>
    <col min="15" max="15" width="12" style="53" customWidth="1"/>
    <col min="16" max="17" width="15" style="53" customWidth="1"/>
    <col min="18" max="18" width="11.5703125" style="53" customWidth="1"/>
    <col min="19" max="19" width="11.140625" style="53" customWidth="1"/>
    <col min="20" max="20" width="15" style="53" customWidth="1"/>
    <col min="21" max="21" width="16.5703125" style="53" customWidth="1"/>
    <col min="22" max="22" width="13.42578125" style="53" customWidth="1"/>
    <col min="23" max="23" width="16.7109375" style="53" customWidth="1"/>
    <col min="24" max="24" width="77.85546875" style="53" customWidth="1"/>
    <col min="25" max="25" width="73.140625" style="53" customWidth="1"/>
    <col min="26" max="26" width="12.28515625" style="53" customWidth="1"/>
    <col min="27" max="27" width="13.42578125" style="53" customWidth="1"/>
    <col min="28" max="28" width="14.140625" style="53" customWidth="1"/>
    <col min="29" max="29" width="12.5703125" style="53" customWidth="1"/>
    <col min="30" max="30" width="72.42578125" style="53" customWidth="1"/>
    <col min="31" max="39" width="9.140625" bestFit="1" customWidth="1"/>
    <col min="40" max="41" width="9.140625" style="226" bestFit="1" customWidth="1"/>
    <col min="42" max="42" width="28.5703125" style="226" customWidth="1"/>
    <col min="43" max="43" width="42" style="226" customWidth="1"/>
    <col min="44" max="44" width="17.5703125" style="226" customWidth="1"/>
    <col min="45" max="45" width="51.42578125" style="226" customWidth="1"/>
    <col min="46" max="46" width="8.5703125" style="226" customWidth="1"/>
    <col min="47" max="47" width="7.140625" style="226" customWidth="1"/>
    <col min="48" max="48" width="20.85546875" style="226" customWidth="1"/>
    <col min="49" max="49" width="17.5703125" style="226" customWidth="1"/>
    <col min="50" max="50" width="22.42578125" style="226" customWidth="1"/>
    <col min="51" max="54" width="17.5703125" style="226"/>
  </cols>
  <sheetData>
    <row r="1" spans="1:30" ht="108" customHeight="1" x14ac:dyDescent="0.2">
      <c r="A1" s="858" t="s">
        <v>0</v>
      </c>
      <c r="B1" s="858"/>
      <c r="C1" s="858" t="s">
        <v>1</v>
      </c>
      <c r="D1" s="858"/>
      <c r="E1" s="858"/>
      <c r="F1" s="858"/>
      <c r="G1" s="858"/>
      <c r="H1" s="858"/>
      <c r="I1" s="858"/>
      <c r="J1" s="858"/>
      <c r="K1" s="858"/>
      <c r="L1" s="858"/>
      <c r="M1" s="858"/>
      <c r="N1" s="858"/>
      <c r="O1" s="858"/>
      <c r="P1" s="858"/>
      <c r="Q1" s="858" t="s">
        <v>2</v>
      </c>
      <c r="R1" s="858"/>
      <c r="S1" s="858"/>
      <c r="T1" s="858"/>
      <c r="U1" s="858"/>
      <c r="V1" s="858"/>
      <c r="W1" s="858"/>
      <c r="X1" s="858"/>
      <c r="Y1" s="858"/>
      <c r="Z1" s="858" t="s">
        <v>2</v>
      </c>
      <c r="AA1" s="858"/>
      <c r="AB1" s="858"/>
      <c r="AC1" s="858"/>
      <c r="AD1" s="858"/>
    </row>
    <row r="2" spans="1:30" ht="15" x14ac:dyDescent="0.2">
      <c r="A2" s="858" t="s">
        <v>197</v>
      </c>
      <c r="B2" s="858"/>
      <c r="C2" s="858" t="s">
        <v>4</v>
      </c>
      <c r="D2" s="862"/>
      <c r="E2" s="862"/>
      <c r="F2" s="862"/>
      <c r="G2" s="858" t="s">
        <v>5</v>
      </c>
      <c r="H2" s="858"/>
      <c r="I2" s="858" t="s">
        <v>6</v>
      </c>
      <c r="J2" s="858"/>
      <c r="K2" s="858"/>
      <c r="L2" s="858"/>
      <c r="M2" s="858"/>
      <c r="N2" s="858"/>
      <c r="O2" s="858"/>
      <c r="P2" s="858"/>
      <c r="Q2" s="858"/>
      <c r="R2" s="858"/>
      <c r="S2" s="858"/>
      <c r="T2" s="858"/>
      <c r="U2" s="858"/>
      <c r="V2" s="858"/>
      <c r="W2" s="858"/>
      <c r="X2" s="858"/>
      <c r="Y2" s="858"/>
      <c r="Z2" s="858"/>
      <c r="AA2" s="858"/>
      <c r="AB2" s="858"/>
      <c r="AC2" s="858"/>
      <c r="AD2" s="858"/>
    </row>
    <row r="3" spans="1:30" ht="15" x14ac:dyDescent="0.2">
      <c r="A3" s="857" t="s">
        <v>7</v>
      </c>
      <c r="B3" s="857"/>
      <c r="C3" s="858" t="s">
        <v>1530</v>
      </c>
      <c r="D3" s="858"/>
      <c r="E3" s="858"/>
      <c r="F3" s="858"/>
      <c r="G3" s="857" t="s">
        <v>9</v>
      </c>
      <c r="H3" s="857"/>
      <c r="I3" s="860">
        <v>45366</v>
      </c>
      <c r="J3" s="858"/>
      <c r="K3" s="858"/>
      <c r="L3" s="858"/>
      <c r="M3" s="858"/>
      <c r="N3" s="858"/>
      <c r="O3" s="857" t="s">
        <v>10</v>
      </c>
      <c r="P3" s="857"/>
      <c r="Q3" s="902">
        <v>45693</v>
      </c>
      <c r="R3" s="903"/>
      <c r="S3" s="903"/>
      <c r="T3" s="903"/>
      <c r="U3" s="903"/>
      <c r="V3" s="903"/>
      <c r="W3" s="904"/>
      <c r="X3" s="133" t="s">
        <v>11</v>
      </c>
      <c r="Y3" s="151" t="s">
        <v>2899</v>
      </c>
      <c r="Z3" s="858"/>
      <c r="AA3" s="858"/>
      <c r="AB3" s="858"/>
      <c r="AC3" s="858"/>
      <c r="AD3" s="858"/>
    </row>
    <row r="4" spans="1:30" ht="66" customHeight="1" x14ac:dyDescent="0.2">
      <c r="A4" s="857" t="s">
        <v>13</v>
      </c>
      <c r="B4" s="857"/>
      <c r="C4" s="858" t="s">
        <v>1531</v>
      </c>
      <c r="D4" s="858"/>
      <c r="E4" s="858"/>
      <c r="F4" s="858"/>
      <c r="G4" s="857" t="s">
        <v>15</v>
      </c>
      <c r="H4" s="857"/>
      <c r="I4" s="1003">
        <v>45656</v>
      </c>
      <c r="J4" s="1003"/>
      <c r="K4" s="1003"/>
      <c r="L4" s="1003"/>
      <c r="M4" s="1003"/>
      <c r="N4" s="1003"/>
      <c r="O4" s="857" t="s">
        <v>16</v>
      </c>
      <c r="P4" s="857"/>
      <c r="Q4" s="858" t="s">
        <v>491</v>
      </c>
      <c r="R4" s="858"/>
      <c r="S4" s="858"/>
      <c r="T4" s="857" t="s">
        <v>18</v>
      </c>
      <c r="U4" s="857"/>
      <c r="V4" s="858"/>
      <c r="W4" s="858"/>
      <c r="X4" s="858"/>
      <c r="Y4" s="858"/>
      <c r="Z4" s="858"/>
      <c r="AA4" s="858"/>
      <c r="AB4" s="858"/>
      <c r="AC4" s="858"/>
      <c r="AD4" s="858"/>
    </row>
    <row r="5" spans="1:30" ht="15" x14ac:dyDescent="0.2">
      <c r="A5" s="987" t="s">
        <v>19</v>
      </c>
      <c r="B5" s="1001"/>
      <c r="C5" s="987"/>
      <c r="D5" s="987"/>
      <c r="E5" s="987"/>
      <c r="F5" s="987"/>
      <c r="G5" s="987"/>
      <c r="H5" s="987"/>
      <c r="I5" s="987"/>
      <c r="J5" s="987"/>
      <c r="K5" s="987"/>
      <c r="L5" s="987"/>
      <c r="M5" s="987"/>
      <c r="N5" s="987"/>
      <c r="O5" s="1002" t="s">
        <v>20</v>
      </c>
      <c r="P5" s="988"/>
      <c r="Q5" s="988"/>
      <c r="R5" s="988"/>
      <c r="S5" s="988"/>
      <c r="T5" s="988"/>
      <c r="U5" s="988"/>
      <c r="V5" s="988"/>
      <c r="W5" s="988"/>
      <c r="X5" s="988"/>
      <c r="Y5" s="988"/>
      <c r="Z5" s="989" t="s">
        <v>21</v>
      </c>
      <c r="AA5" s="989"/>
      <c r="AB5" s="989"/>
      <c r="AC5" s="989"/>
      <c r="AD5" s="989"/>
    </row>
    <row r="6" spans="1:30" ht="90" x14ac:dyDescent="0.2">
      <c r="A6" s="229" t="s">
        <v>22</v>
      </c>
      <c r="B6" s="244" t="s">
        <v>23</v>
      </c>
      <c r="C6" s="232" t="s">
        <v>24</v>
      </c>
      <c r="D6" s="227" t="s">
        <v>25</v>
      </c>
      <c r="E6" s="227" t="s">
        <v>26</v>
      </c>
      <c r="F6" s="227" t="s">
        <v>27</v>
      </c>
      <c r="G6" s="227" t="s">
        <v>28</v>
      </c>
      <c r="H6" s="227" t="s">
        <v>29</v>
      </c>
      <c r="I6" s="227" t="s">
        <v>30</v>
      </c>
      <c r="J6" s="227" t="s">
        <v>31</v>
      </c>
      <c r="K6" s="227" t="s">
        <v>32</v>
      </c>
      <c r="L6" s="227" t="s">
        <v>33</v>
      </c>
      <c r="M6" s="227" t="s">
        <v>34</v>
      </c>
      <c r="N6" s="229" t="s">
        <v>35</v>
      </c>
      <c r="O6" s="231" t="s">
        <v>36</v>
      </c>
      <c r="P6" s="230" t="s">
        <v>37</v>
      </c>
      <c r="Q6" s="228" t="s">
        <v>38</v>
      </c>
      <c r="R6" s="228" t="s">
        <v>39</v>
      </c>
      <c r="S6" s="228" t="s">
        <v>40</v>
      </c>
      <c r="T6" s="228" t="s">
        <v>41</v>
      </c>
      <c r="U6" s="228" t="s">
        <v>42</v>
      </c>
      <c r="V6" s="228" t="s">
        <v>43</v>
      </c>
      <c r="W6" s="228" t="s">
        <v>44</v>
      </c>
      <c r="X6" s="228" t="s">
        <v>45</v>
      </c>
      <c r="Y6" s="228" t="s">
        <v>46</v>
      </c>
      <c r="Z6" s="240" t="s">
        <v>47</v>
      </c>
      <c r="AA6" s="240" t="s">
        <v>48</v>
      </c>
      <c r="AB6" s="240" t="s">
        <v>49</v>
      </c>
      <c r="AC6" s="240" t="s">
        <v>50</v>
      </c>
      <c r="AD6" s="240" t="s">
        <v>51</v>
      </c>
    </row>
    <row r="7" spans="1:30" ht="188.25" customHeight="1" x14ac:dyDescent="0.2">
      <c r="A7" s="1007" t="s">
        <v>202</v>
      </c>
      <c r="B7" s="1007" t="s">
        <v>53</v>
      </c>
      <c r="C7" s="1009" t="s">
        <v>1532</v>
      </c>
      <c r="D7" s="1009" t="s">
        <v>1533</v>
      </c>
      <c r="E7" s="1009" t="s">
        <v>1534</v>
      </c>
      <c r="F7" s="525" t="s">
        <v>1535</v>
      </c>
      <c r="G7" s="526" t="s">
        <v>1536</v>
      </c>
      <c r="H7" s="527">
        <v>1</v>
      </c>
      <c r="I7" s="526" t="s">
        <v>1537</v>
      </c>
      <c r="J7" s="528" t="s">
        <v>60</v>
      </c>
      <c r="K7" s="528" t="s">
        <v>215</v>
      </c>
      <c r="L7" s="528" t="s">
        <v>1538</v>
      </c>
      <c r="M7" s="529">
        <v>45366</v>
      </c>
      <c r="N7" s="529">
        <v>45807</v>
      </c>
      <c r="O7" s="785">
        <f>(N7-M7)/7</f>
        <v>63</v>
      </c>
      <c r="P7" s="786">
        <v>45693</v>
      </c>
      <c r="Q7" s="530">
        <f>P7</f>
        <v>45693</v>
      </c>
      <c r="R7" s="233">
        <f>(Q7-M7)/7-O7</f>
        <v>-16.285714285714285</v>
      </c>
      <c r="S7" s="234" t="str">
        <f ca="1">IF((N7-TODAY())/7&gt;=0,"En tiempo","Alerta")</f>
        <v>En tiempo</v>
      </c>
      <c r="T7" s="787">
        <v>0.9</v>
      </c>
      <c r="U7" s="235">
        <f>IF(T7/H7=1,1,+T7/H7)</f>
        <v>0.9</v>
      </c>
      <c r="V7" s="235" t="str">
        <f>IF(R7&gt;O7,0%,IF(R7&lt;=0,"100%",1-(R7/O7)))</f>
        <v>100%</v>
      </c>
      <c r="W7" s="277" t="str">
        <f>IF(P7&lt;=N7,"Cumple","Incumple")</f>
        <v>Cumple</v>
      </c>
      <c r="X7" s="788" t="s">
        <v>3189</v>
      </c>
      <c r="Y7" s="788" t="s">
        <v>3190</v>
      </c>
      <c r="Z7" s="235">
        <f>(U7+V7)/2</f>
        <v>0.95</v>
      </c>
      <c r="AA7" s="237">
        <v>0.1</v>
      </c>
      <c r="AB7" s="237">
        <v>0.1</v>
      </c>
      <c r="AC7" s="238">
        <f t="shared" ref="AC7:AC14" si="0">AVERAGE(Z7:AB7)</f>
        <v>0.38333333333333336</v>
      </c>
      <c r="AD7" s="793" t="s">
        <v>1539</v>
      </c>
    </row>
    <row r="8" spans="1:30" ht="168.75" customHeight="1" x14ac:dyDescent="0.2">
      <c r="A8" s="1008"/>
      <c r="B8" s="1008"/>
      <c r="C8" s="1010"/>
      <c r="D8" s="1010"/>
      <c r="E8" s="1010"/>
      <c r="F8" s="1014" t="s">
        <v>1540</v>
      </c>
      <c r="G8" s="531" t="s">
        <v>1541</v>
      </c>
      <c r="H8" s="532">
        <v>1</v>
      </c>
      <c r="I8" s="531" t="s">
        <v>1542</v>
      </c>
      <c r="J8" s="533" t="s">
        <v>60</v>
      </c>
      <c r="K8" s="533" t="s">
        <v>61</v>
      </c>
      <c r="L8" s="533" t="s">
        <v>1543</v>
      </c>
      <c r="M8" s="534">
        <v>45414</v>
      </c>
      <c r="N8" s="534">
        <v>45807</v>
      </c>
      <c r="O8" s="785">
        <f>(N8-M8)/7</f>
        <v>56.142857142857146</v>
      </c>
      <c r="P8" s="786">
        <v>45693</v>
      </c>
      <c r="Q8" s="530">
        <f>P8</f>
        <v>45693</v>
      </c>
      <c r="R8" s="233">
        <f t="shared" ref="R8:R31" si="1">(Q8-M8)/7-O8</f>
        <v>-16.285714285714292</v>
      </c>
      <c r="S8" s="234" t="str">
        <f ca="1">IF((N8-TODAY())/7&gt;=0,"En tiempo","Alerta")</f>
        <v>En tiempo</v>
      </c>
      <c r="T8" s="787">
        <v>0.9</v>
      </c>
      <c r="U8" s="235">
        <f>IF(T8/H8=1,1,+T8/H8)</f>
        <v>0.9</v>
      </c>
      <c r="V8" s="235" t="str">
        <f>IF(R8&gt;O8,0%,IF(R8&lt;=0,"100%",1-(R8/O8)))</f>
        <v>100%</v>
      </c>
      <c r="W8" s="277" t="str">
        <f>IF(P8&lt;=N8,"Cumple","Incumple")</f>
        <v>Cumple</v>
      </c>
      <c r="X8" s="788" t="s">
        <v>3191</v>
      </c>
      <c r="Y8" s="305" t="s">
        <v>3192</v>
      </c>
      <c r="Z8" s="235">
        <f>(U8+V8)/2</f>
        <v>0.95</v>
      </c>
      <c r="AA8" s="237">
        <v>0.6</v>
      </c>
      <c r="AB8" s="237">
        <v>0.6</v>
      </c>
      <c r="AC8" s="238">
        <f>AVERAGE(Z8:AB8)</f>
        <v>0.71666666666666667</v>
      </c>
      <c r="AD8" s="793" t="s">
        <v>1544</v>
      </c>
    </row>
    <row r="9" spans="1:30" s="226" customFormat="1" ht="84.75" customHeight="1" x14ac:dyDescent="0.2">
      <c r="A9" s="1008"/>
      <c r="B9" s="1008"/>
      <c r="C9" s="1010"/>
      <c r="D9" s="1010"/>
      <c r="E9" s="1010"/>
      <c r="F9" s="1028"/>
      <c r="G9" s="535" t="s">
        <v>1545</v>
      </c>
      <c r="H9" s="536">
        <v>1</v>
      </c>
      <c r="I9" s="535" t="s">
        <v>1542</v>
      </c>
      <c r="J9" s="537" t="s">
        <v>60</v>
      </c>
      <c r="K9" s="537" t="s">
        <v>61</v>
      </c>
      <c r="L9" s="537" t="s">
        <v>1546</v>
      </c>
      <c r="M9" s="538">
        <v>45481</v>
      </c>
      <c r="N9" s="534">
        <v>45807</v>
      </c>
      <c r="O9" s="785">
        <f>(N9-M9)/7</f>
        <v>46.571428571428569</v>
      </c>
      <c r="P9" s="786">
        <v>45693</v>
      </c>
      <c r="Q9" s="530">
        <f>P9</f>
        <v>45693</v>
      </c>
      <c r="R9" s="433">
        <f t="shared" si="1"/>
        <v>-16.285714285714285</v>
      </c>
      <c r="S9" s="434" t="str">
        <f ca="1">IF((N9-TODAY())/7&gt;=0,"En tiempo","Alerta")</f>
        <v>En tiempo</v>
      </c>
      <c r="T9" s="787"/>
      <c r="U9" s="408">
        <f>IF(T9/H9=1,1,+T9/H9)</f>
        <v>0</v>
      </c>
      <c r="V9" s="408" t="str">
        <f>IF(R9&gt;O9,0%,IF(R9&lt;=0,"100%",1-(R9/O9)))</f>
        <v>100%</v>
      </c>
      <c r="W9" s="439" t="str">
        <f>IF(P9&lt;=N9,"Cumple","Incumple")</f>
        <v>Cumple</v>
      </c>
      <c r="X9" s="788" t="s">
        <v>1547</v>
      </c>
      <c r="Y9" s="305" t="s">
        <v>1548</v>
      </c>
      <c r="Z9" s="408">
        <f>(U9+V9)/2</f>
        <v>0.5</v>
      </c>
      <c r="AA9" s="436"/>
      <c r="AB9" s="436"/>
      <c r="AC9" s="437"/>
      <c r="AD9" s="793"/>
    </row>
    <row r="10" spans="1:30" s="226" customFormat="1" ht="229.5" customHeight="1" x14ac:dyDescent="0.2">
      <c r="A10" s="1004" t="s">
        <v>202</v>
      </c>
      <c r="B10" s="1004" t="s">
        <v>53</v>
      </c>
      <c r="C10" s="998" t="s">
        <v>1549</v>
      </c>
      <c r="D10" s="998" t="s">
        <v>1550</v>
      </c>
      <c r="E10" s="998" t="s">
        <v>1551</v>
      </c>
      <c r="F10" s="540" t="s">
        <v>1552</v>
      </c>
      <c r="G10" s="541" t="s">
        <v>1553</v>
      </c>
      <c r="H10" s="541">
        <v>1</v>
      </c>
      <c r="I10" s="541" t="s">
        <v>1542</v>
      </c>
      <c r="J10" s="540" t="s">
        <v>865</v>
      </c>
      <c r="K10" s="541" t="s">
        <v>61</v>
      </c>
      <c r="L10" s="541" t="s">
        <v>1554</v>
      </c>
      <c r="M10" s="542">
        <v>45385</v>
      </c>
      <c r="N10" s="529">
        <v>45412</v>
      </c>
      <c r="O10" s="785">
        <f>(N10-M10)/7</f>
        <v>3.8571428571428572</v>
      </c>
      <c r="P10" s="786">
        <v>45693</v>
      </c>
      <c r="Q10" s="522">
        <v>45434</v>
      </c>
      <c r="R10" s="433">
        <f t="shared" si="1"/>
        <v>3.1428571428571428</v>
      </c>
      <c r="S10" s="434" t="str">
        <f ca="1">IF((N10-TODAY())/7&gt;=0,"En tiempo","Alerta")</f>
        <v>Alerta</v>
      </c>
      <c r="T10" s="787">
        <v>1</v>
      </c>
      <c r="U10" s="408">
        <f>IF(T10/H10=1,1,+T10/H10)</f>
        <v>1</v>
      </c>
      <c r="V10" s="408">
        <f>IF(R10&gt;O10,0%,IF(R10&lt;=0,"100%",1-(R10/O10)))</f>
        <v>0.18518518518518523</v>
      </c>
      <c r="W10" s="439" t="str">
        <f>IF(Q10&lt;=N10,"Cumple","Incumple")</f>
        <v>Incumple</v>
      </c>
      <c r="X10" s="788" t="s">
        <v>1555</v>
      </c>
      <c r="Y10" s="305" t="s">
        <v>1556</v>
      </c>
      <c r="Z10" s="408">
        <f>(U10+V10)/2</f>
        <v>0.59259259259259256</v>
      </c>
      <c r="AA10" s="436">
        <v>1</v>
      </c>
      <c r="AB10" s="436">
        <v>1</v>
      </c>
      <c r="AC10" s="437">
        <f t="shared" si="0"/>
        <v>0.86419753086419748</v>
      </c>
      <c r="AD10" s="793" t="s">
        <v>3207</v>
      </c>
    </row>
    <row r="11" spans="1:30" s="226" customFormat="1" ht="230.25" customHeight="1" x14ac:dyDescent="0.2">
      <c r="A11" s="1005"/>
      <c r="B11" s="1005"/>
      <c r="C11" s="999"/>
      <c r="D11" s="999"/>
      <c r="E11" s="999"/>
      <c r="F11" s="535" t="s">
        <v>1557</v>
      </c>
      <c r="G11" s="537" t="s">
        <v>1558</v>
      </c>
      <c r="H11" s="537">
        <v>1</v>
      </c>
      <c r="I11" s="537" t="s">
        <v>1542</v>
      </c>
      <c r="J11" s="535" t="s">
        <v>865</v>
      </c>
      <c r="K11" s="537" t="s">
        <v>61</v>
      </c>
      <c r="L11" s="537" t="s">
        <v>1554</v>
      </c>
      <c r="M11" s="538">
        <v>45414</v>
      </c>
      <c r="N11" s="534">
        <v>45442</v>
      </c>
      <c r="O11" s="785">
        <f t="shared" ref="O11:O12" si="2">(N11-M11)/7</f>
        <v>4</v>
      </c>
      <c r="P11" s="786">
        <v>45693</v>
      </c>
      <c r="Q11" s="522">
        <v>45434</v>
      </c>
      <c r="R11" s="433">
        <f t="shared" si="1"/>
        <v>-1.1428571428571428</v>
      </c>
      <c r="S11" s="434" t="str">
        <f t="shared" ref="S11:S12" ca="1" si="3">IF((N11-TODAY())/7&gt;=0,"En tiempo","Alerta")</f>
        <v>Alerta</v>
      </c>
      <c r="T11" s="787">
        <v>1</v>
      </c>
      <c r="U11" s="408">
        <f t="shared" ref="U11:U12" si="4">IF(T11/H11=1,1,+T11/H11)</f>
        <v>1</v>
      </c>
      <c r="V11" s="408" t="str">
        <f t="shared" ref="V11:V12" si="5">IF(R11&gt;O11,0%,IF(R11&lt;=0,"100%",1-(R11/O11)))</f>
        <v>100%</v>
      </c>
      <c r="W11" s="439" t="str">
        <f>IF(Q11&lt;=N11,"Cumple","Incumple")</f>
        <v>Cumple</v>
      </c>
      <c r="X11" s="788" t="s">
        <v>1559</v>
      </c>
      <c r="Y11" s="305" t="s">
        <v>1560</v>
      </c>
      <c r="Z11" s="408">
        <f t="shared" ref="Z11:Z12" si="6">(U11+V11)/2</f>
        <v>1</v>
      </c>
      <c r="AA11" s="436">
        <v>1</v>
      </c>
      <c r="AB11" s="436">
        <v>1</v>
      </c>
      <c r="AC11" s="437">
        <f t="shared" si="0"/>
        <v>1</v>
      </c>
      <c r="AD11" s="793" t="s">
        <v>3208</v>
      </c>
    </row>
    <row r="12" spans="1:30" s="226" customFormat="1" ht="232.5" customHeight="1" x14ac:dyDescent="0.2">
      <c r="A12" s="1005"/>
      <c r="B12" s="1005"/>
      <c r="C12" s="999"/>
      <c r="D12" s="999"/>
      <c r="E12" s="999"/>
      <c r="F12" s="535" t="s">
        <v>1561</v>
      </c>
      <c r="G12" s="537" t="s">
        <v>1562</v>
      </c>
      <c r="H12" s="537">
        <v>1</v>
      </c>
      <c r="I12" s="537" t="s">
        <v>1563</v>
      </c>
      <c r="J12" s="535" t="s">
        <v>865</v>
      </c>
      <c r="K12" s="537" t="s">
        <v>61</v>
      </c>
      <c r="L12" s="537" t="s">
        <v>1564</v>
      </c>
      <c r="M12" s="538">
        <v>45414</v>
      </c>
      <c r="N12" s="534">
        <v>45807</v>
      </c>
      <c r="O12" s="785">
        <f t="shared" si="2"/>
        <v>56.142857142857146</v>
      </c>
      <c r="P12" s="786">
        <v>45693</v>
      </c>
      <c r="Q12" s="530">
        <f>P12</f>
        <v>45693</v>
      </c>
      <c r="R12" s="433">
        <f t="shared" si="1"/>
        <v>-16.285714285714292</v>
      </c>
      <c r="S12" s="434" t="str">
        <f t="shared" ca="1" si="3"/>
        <v>En tiempo</v>
      </c>
      <c r="T12" s="787">
        <v>0.9</v>
      </c>
      <c r="U12" s="408">
        <f t="shared" si="4"/>
        <v>0.9</v>
      </c>
      <c r="V12" s="408" t="str">
        <f t="shared" si="5"/>
        <v>100%</v>
      </c>
      <c r="W12" s="439" t="str">
        <f>IF(Q12&lt;=N12,"Cumple","Incumple")</f>
        <v>Cumple</v>
      </c>
      <c r="X12" s="305" t="s">
        <v>3193</v>
      </c>
      <c r="Y12" s="305" t="s">
        <v>3194</v>
      </c>
      <c r="Z12" s="408">
        <f t="shared" si="6"/>
        <v>0.95</v>
      </c>
      <c r="AA12" s="436">
        <v>0.8</v>
      </c>
      <c r="AB12" s="436"/>
      <c r="AC12" s="437">
        <f t="shared" si="0"/>
        <v>0.875</v>
      </c>
      <c r="AD12" s="793" t="s">
        <v>3209</v>
      </c>
    </row>
    <row r="13" spans="1:30" s="226" customFormat="1" ht="74.25" customHeight="1" x14ac:dyDescent="0.2">
      <c r="A13" s="1006"/>
      <c r="B13" s="1006"/>
      <c r="C13" s="1000"/>
      <c r="D13" s="1000"/>
      <c r="E13" s="1000"/>
      <c r="F13" s="535" t="s">
        <v>1565</v>
      </c>
      <c r="G13" s="543" t="s">
        <v>1566</v>
      </c>
      <c r="H13" s="544">
        <v>1</v>
      </c>
      <c r="I13" s="537" t="s">
        <v>1567</v>
      </c>
      <c r="J13" s="535" t="s">
        <v>865</v>
      </c>
      <c r="K13" s="537" t="s">
        <v>61</v>
      </c>
      <c r="L13" s="537" t="s">
        <v>1568</v>
      </c>
      <c r="M13" s="538">
        <v>45481</v>
      </c>
      <c r="N13" s="534">
        <v>45807</v>
      </c>
      <c r="O13" s="785">
        <f t="shared" ref="O13:O20" si="7">(N13-M13)/7</f>
        <v>46.571428571428569</v>
      </c>
      <c r="P13" s="786">
        <v>45693</v>
      </c>
      <c r="Q13" s="530">
        <f>P13</f>
        <v>45693</v>
      </c>
      <c r="R13" s="433">
        <f t="shared" si="1"/>
        <v>-16.285714285714285</v>
      </c>
      <c r="S13" s="434" t="str">
        <f t="shared" ref="S13:S20" ca="1" si="8">IF((N13-TODAY())/7&gt;=0,"En tiempo","Alerta")</f>
        <v>En tiempo</v>
      </c>
      <c r="T13" s="787"/>
      <c r="U13" s="408">
        <f t="shared" ref="U13:U20" si="9">IF(T13/H13=1,1,+T13/H13)</f>
        <v>0</v>
      </c>
      <c r="V13" s="408" t="str">
        <f t="shared" ref="V13:V20" si="10">IF(R13&gt;O13,0%,IF(R13&lt;=0,"100%",1-(R13/O13)))</f>
        <v>100%</v>
      </c>
      <c r="W13" s="439" t="str">
        <f>IF(P13&lt;=N13,"Cumple","Incumple")</f>
        <v>Cumple</v>
      </c>
      <c r="X13" s="788" t="s">
        <v>1547</v>
      </c>
      <c r="Y13" s="305" t="s">
        <v>1569</v>
      </c>
      <c r="Z13" s="408">
        <f t="shared" ref="Z13:Z20" si="11">(U13+V13)/2</f>
        <v>0.5</v>
      </c>
      <c r="AA13" s="436"/>
      <c r="AB13" s="436"/>
      <c r="AC13" s="437"/>
      <c r="AD13" s="793"/>
    </row>
    <row r="14" spans="1:30" s="226" customFormat="1" ht="210.75" customHeight="1" x14ac:dyDescent="0.2">
      <c r="A14" s="545" t="s">
        <v>202</v>
      </c>
      <c r="B14" s="545" t="s">
        <v>53</v>
      </c>
      <c r="C14" s="546" t="s">
        <v>1570</v>
      </c>
      <c r="D14" s="547" t="s">
        <v>1571</v>
      </c>
      <c r="E14" s="1029" t="s">
        <v>1572</v>
      </c>
      <c r="F14" s="540" t="s">
        <v>1573</v>
      </c>
      <c r="G14" s="541" t="s">
        <v>1574</v>
      </c>
      <c r="H14" s="548">
        <v>1</v>
      </c>
      <c r="I14" s="541" t="s">
        <v>1575</v>
      </c>
      <c r="J14" s="541" t="s">
        <v>60</v>
      </c>
      <c r="K14" s="541" t="s">
        <v>61</v>
      </c>
      <c r="L14" s="541" t="s">
        <v>1576</v>
      </c>
      <c r="M14" s="542">
        <v>45366</v>
      </c>
      <c r="N14" s="529">
        <v>45373</v>
      </c>
      <c r="O14" s="785">
        <f t="shared" si="7"/>
        <v>1</v>
      </c>
      <c r="P14" s="786">
        <v>45693</v>
      </c>
      <c r="Q14" s="522">
        <v>45386</v>
      </c>
      <c r="R14" s="433">
        <f t="shared" si="1"/>
        <v>1.8571428571428572</v>
      </c>
      <c r="S14" s="434" t="str">
        <f t="shared" ca="1" si="8"/>
        <v>Alerta</v>
      </c>
      <c r="T14" s="787">
        <v>1</v>
      </c>
      <c r="U14" s="408">
        <f t="shared" si="9"/>
        <v>1</v>
      </c>
      <c r="V14" s="408">
        <f t="shared" si="10"/>
        <v>0</v>
      </c>
      <c r="W14" s="439" t="str">
        <f>IF(Q14&lt;=N14,"Cumple","Incumple")</f>
        <v>Incumple</v>
      </c>
      <c r="X14" s="788" t="s">
        <v>1577</v>
      </c>
      <c r="Y14" s="305" t="s">
        <v>1578</v>
      </c>
      <c r="Z14" s="408">
        <f t="shared" si="11"/>
        <v>0.5</v>
      </c>
      <c r="AA14" s="436">
        <v>1</v>
      </c>
      <c r="AB14" s="436">
        <v>1</v>
      </c>
      <c r="AC14" s="437">
        <f t="shared" si="0"/>
        <v>0.83333333333333337</v>
      </c>
      <c r="AD14" s="793" t="s">
        <v>3210</v>
      </c>
    </row>
    <row r="15" spans="1:30" s="226" customFormat="1" ht="200.25" customHeight="1" x14ac:dyDescent="0.2">
      <c r="A15" s="545" t="s">
        <v>202</v>
      </c>
      <c r="B15" s="545" t="s">
        <v>53</v>
      </c>
      <c r="C15" s="540" t="s">
        <v>1579</v>
      </c>
      <c r="D15" s="541" t="s">
        <v>1580</v>
      </c>
      <c r="E15" s="1030"/>
      <c r="F15" s="535" t="s">
        <v>1581</v>
      </c>
      <c r="G15" s="537" t="s">
        <v>1582</v>
      </c>
      <c r="H15" s="549">
        <v>1</v>
      </c>
      <c r="I15" s="537" t="s">
        <v>1583</v>
      </c>
      <c r="J15" s="537" t="s">
        <v>60</v>
      </c>
      <c r="K15" s="537" t="s">
        <v>61</v>
      </c>
      <c r="L15" s="537" t="s">
        <v>1564</v>
      </c>
      <c r="M15" s="542">
        <v>45366</v>
      </c>
      <c r="N15" s="534">
        <v>45807</v>
      </c>
      <c r="O15" s="785">
        <f t="shared" si="7"/>
        <v>63</v>
      </c>
      <c r="P15" s="786">
        <v>45693</v>
      </c>
      <c r="Q15" s="530">
        <f>P15</f>
        <v>45693</v>
      </c>
      <c r="R15" s="433">
        <f>(Q15-M15)/7-O15</f>
        <v>-16.285714285714285</v>
      </c>
      <c r="S15" s="434" t="str">
        <f t="shared" ca="1" si="8"/>
        <v>En tiempo</v>
      </c>
      <c r="T15" s="787">
        <v>0.7</v>
      </c>
      <c r="U15" s="408">
        <f t="shared" si="9"/>
        <v>0.7</v>
      </c>
      <c r="V15" s="408" t="str">
        <f t="shared" si="10"/>
        <v>100%</v>
      </c>
      <c r="W15" s="439" t="str">
        <f>IF(P15&lt;=N15,"Cumple","Incumple")</f>
        <v>Cumple</v>
      </c>
      <c r="X15" s="788" t="s">
        <v>3195</v>
      </c>
      <c r="Y15" s="305" t="s">
        <v>3196</v>
      </c>
      <c r="Z15" s="408">
        <f t="shared" si="11"/>
        <v>0.85</v>
      </c>
      <c r="AA15" s="436"/>
      <c r="AB15" s="436"/>
      <c r="AC15" s="437"/>
      <c r="AD15" s="793"/>
    </row>
    <row r="16" spans="1:30" s="226" customFormat="1" ht="120.75" customHeight="1" x14ac:dyDescent="0.2">
      <c r="A16" s="545" t="s">
        <v>202</v>
      </c>
      <c r="B16" s="545" t="s">
        <v>53</v>
      </c>
      <c r="C16" s="535" t="s">
        <v>1584</v>
      </c>
      <c r="D16" s="537" t="s">
        <v>1585</v>
      </c>
      <c r="E16" s="1030"/>
      <c r="F16" s="535" t="s">
        <v>1586</v>
      </c>
      <c r="G16" s="537" t="s">
        <v>1587</v>
      </c>
      <c r="H16" s="549">
        <v>1</v>
      </c>
      <c r="I16" s="537" t="s">
        <v>1588</v>
      </c>
      <c r="J16" s="537" t="s">
        <v>60</v>
      </c>
      <c r="K16" s="537" t="s">
        <v>61</v>
      </c>
      <c r="L16" s="537" t="s">
        <v>1589</v>
      </c>
      <c r="M16" s="542">
        <v>45366</v>
      </c>
      <c r="N16" s="534">
        <v>45807</v>
      </c>
      <c r="O16" s="785">
        <f t="shared" si="7"/>
        <v>63</v>
      </c>
      <c r="P16" s="786">
        <v>45693</v>
      </c>
      <c r="Q16" s="530">
        <f>P16</f>
        <v>45693</v>
      </c>
      <c r="R16" s="433">
        <f>(Q16-M16)/7-O16</f>
        <v>-16.285714285714285</v>
      </c>
      <c r="S16" s="434" t="str">
        <f t="shared" ca="1" si="8"/>
        <v>En tiempo</v>
      </c>
      <c r="T16" s="787">
        <v>0</v>
      </c>
      <c r="U16" s="408">
        <f t="shared" si="9"/>
        <v>0</v>
      </c>
      <c r="V16" s="408" t="str">
        <f t="shared" si="10"/>
        <v>100%</v>
      </c>
      <c r="W16" s="439" t="str">
        <f>IF(P16&lt;=N16,"Cumple","Incumple")</f>
        <v>Cumple</v>
      </c>
      <c r="X16" s="788" t="s">
        <v>1590</v>
      </c>
      <c r="Y16" s="788" t="s">
        <v>1285</v>
      </c>
      <c r="Z16" s="408">
        <f t="shared" si="11"/>
        <v>0.5</v>
      </c>
      <c r="AA16" s="436"/>
      <c r="AB16" s="436"/>
      <c r="AC16" s="437"/>
      <c r="AD16" s="793" t="s">
        <v>1591</v>
      </c>
    </row>
    <row r="17" spans="1:30" s="226" customFormat="1" ht="101.25" customHeight="1" x14ac:dyDescent="0.2">
      <c r="A17" s="545" t="s">
        <v>202</v>
      </c>
      <c r="B17" s="545" t="s">
        <v>53</v>
      </c>
      <c r="C17" s="550" t="s">
        <v>1592</v>
      </c>
      <c r="D17" s="551" t="s">
        <v>1593</v>
      </c>
      <c r="E17" s="1030"/>
      <c r="F17" s="535" t="s">
        <v>1594</v>
      </c>
      <c r="G17" s="537" t="s">
        <v>1595</v>
      </c>
      <c r="H17" s="549">
        <v>1</v>
      </c>
      <c r="I17" s="537" t="s">
        <v>1542</v>
      </c>
      <c r="J17" s="537" t="s">
        <v>865</v>
      </c>
      <c r="K17" s="537" t="s">
        <v>61</v>
      </c>
      <c r="L17" s="537" t="s">
        <v>1596</v>
      </c>
      <c r="M17" s="538">
        <v>45481</v>
      </c>
      <c r="N17" s="534">
        <v>45807</v>
      </c>
      <c r="O17" s="785">
        <f t="shared" si="7"/>
        <v>46.571428571428569</v>
      </c>
      <c r="P17" s="786">
        <v>45693</v>
      </c>
      <c r="Q17" s="530">
        <f>P17</f>
        <v>45693</v>
      </c>
      <c r="R17" s="433">
        <f>(Q17-M17)/7-O17</f>
        <v>-16.285714285714285</v>
      </c>
      <c r="S17" s="434" t="str">
        <f t="shared" ca="1" si="8"/>
        <v>En tiempo</v>
      </c>
      <c r="T17" s="787">
        <v>0</v>
      </c>
      <c r="U17" s="408">
        <f t="shared" si="9"/>
        <v>0</v>
      </c>
      <c r="V17" s="408" t="str">
        <f t="shared" si="10"/>
        <v>100%</v>
      </c>
      <c r="W17" s="439" t="str">
        <f>IF(P17&lt;=N17,"Cumple","Incumple")</f>
        <v>Cumple</v>
      </c>
      <c r="X17" s="788" t="s">
        <v>1597</v>
      </c>
      <c r="Y17" s="305" t="s">
        <v>1285</v>
      </c>
      <c r="Z17" s="408">
        <f t="shared" si="11"/>
        <v>0.5</v>
      </c>
      <c r="AA17" s="436"/>
      <c r="AB17" s="436"/>
      <c r="AC17" s="437"/>
      <c r="AD17" s="793"/>
    </row>
    <row r="18" spans="1:30" s="226" customFormat="1" ht="137.25" customHeight="1" x14ac:dyDescent="0.2">
      <c r="A18" s="545" t="s">
        <v>202</v>
      </c>
      <c r="B18" s="545" t="s">
        <v>53</v>
      </c>
      <c r="C18" s="546" t="s">
        <v>1598</v>
      </c>
      <c r="D18" s="552" t="s">
        <v>1599</v>
      </c>
      <c r="E18" s="997" t="s">
        <v>1572</v>
      </c>
      <c r="F18" s="546" t="s">
        <v>1600</v>
      </c>
      <c r="G18" s="547" t="s">
        <v>1601</v>
      </c>
      <c r="H18" s="553">
        <v>1</v>
      </c>
      <c r="I18" s="547" t="s">
        <v>1602</v>
      </c>
      <c r="J18" s="547" t="s">
        <v>865</v>
      </c>
      <c r="K18" s="547" t="s">
        <v>61</v>
      </c>
      <c r="L18" s="547" t="s">
        <v>1603</v>
      </c>
      <c r="M18" s="542">
        <v>45366</v>
      </c>
      <c r="N18" s="529">
        <v>45380</v>
      </c>
      <c r="O18" s="785">
        <f t="shared" si="7"/>
        <v>2</v>
      </c>
      <c r="P18" s="786">
        <v>45502</v>
      </c>
      <c r="Q18" s="522">
        <v>45386</v>
      </c>
      <c r="R18" s="433">
        <f>(Q18-M18)/7-O18</f>
        <v>0.85714285714285721</v>
      </c>
      <c r="S18" s="434" t="str">
        <f t="shared" ca="1" si="8"/>
        <v>Alerta</v>
      </c>
      <c r="T18" s="787">
        <v>1</v>
      </c>
      <c r="U18" s="408">
        <f t="shared" si="9"/>
        <v>1</v>
      </c>
      <c r="V18" s="408">
        <f t="shared" si="10"/>
        <v>0.5714285714285714</v>
      </c>
      <c r="W18" s="439" t="str">
        <f>IF(Q18&lt;=N18,"Cumple","Incumple")</f>
        <v>Incumple</v>
      </c>
      <c r="X18" s="788" t="s">
        <v>1604</v>
      </c>
      <c r="Y18" s="305" t="s">
        <v>1605</v>
      </c>
      <c r="Z18" s="408">
        <f t="shared" si="11"/>
        <v>0.7857142857142857</v>
      </c>
      <c r="AA18" s="436">
        <v>1</v>
      </c>
      <c r="AB18" s="436">
        <v>1</v>
      </c>
      <c r="AC18" s="437">
        <f t="shared" ref="AC18:AC20" si="12">AVERAGE(Z18:AB18)</f>
        <v>0.92857142857142849</v>
      </c>
      <c r="AD18" s="793" t="s">
        <v>3211</v>
      </c>
    </row>
    <row r="19" spans="1:30" s="226" customFormat="1" ht="180.75" customHeight="1" x14ac:dyDescent="0.2">
      <c r="A19" s="1004" t="s">
        <v>202</v>
      </c>
      <c r="B19" s="1004" t="s">
        <v>53</v>
      </c>
      <c r="C19" s="540" t="s">
        <v>1606</v>
      </c>
      <c r="D19" s="554" t="s">
        <v>1599</v>
      </c>
      <c r="E19" s="997"/>
      <c r="F19" s="546" t="s">
        <v>1607</v>
      </c>
      <c r="G19" s="547" t="s">
        <v>1608</v>
      </c>
      <c r="H19" s="553">
        <v>1</v>
      </c>
      <c r="I19" s="547" t="s">
        <v>1602</v>
      </c>
      <c r="J19" s="547" t="s">
        <v>865</v>
      </c>
      <c r="K19" s="547" t="s">
        <v>61</v>
      </c>
      <c r="L19" s="547" t="s">
        <v>1609</v>
      </c>
      <c r="M19" s="542">
        <v>45366</v>
      </c>
      <c r="N19" s="529">
        <v>45380</v>
      </c>
      <c r="O19" s="785">
        <f t="shared" si="7"/>
        <v>2</v>
      </c>
      <c r="P19" s="786">
        <v>45502</v>
      </c>
      <c r="Q19" s="522">
        <v>45450</v>
      </c>
      <c r="R19" s="433">
        <f t="shared" si="1"/>
        <v>10</v>
      </c>
      <c r="S19" s="434" t="str">
        <f t="shared" ca="1" si="8"/>
        <v>Alerta</v>
      </c>
      <c r="T19" s="787">
        <v>1</v>
      </c>
      <c r="U19" s="408">
        <f t="shared" si="9"/>
        <v>1</v>
      </c>
      <c r="V19" s="408">
        <f t="shared" si="10"/>
        <v>0</v>
      </c>
      <c r="W19" s="439" t="str">
        <f>IF(Q19&lt;=N19,"Cumple","Incumple")</f>
        <v>Incumple</v>
      </c>
      <c r="X19" s="788" t="s">
        <v>1610</v>
      </c>
      <c r="Y19" s="305" t="s">
        <v>1611</v>
      </c>
      <c r="Z19" s="408">
        <f t="shared" si="11"/>
        <v>0.5</v>
      </c>
      <c r="AA19" s="436">
        <v>1</v>
      </c>
      <c r="AB19" s="436">
        <v>1</v>
      </c>
      <c r="AC19" s="437">
        <f>AVERAGE(Z19:AB19)</f>
        <v>0.83333333333333337</v>
      </c>
      <c r="AD19" s="793" t="s">
        <v>3212</v>
      </c>
    </row>
    <row r="20" spans="1:30" s="226" customFormat="1" ht="114" customHeight="1" x14ac:dyDescent="0.2">
      <c r="A20" s="1006"/>
      <c r="B20" s="1006"/>
      <c r="C20" s="550" t="s">
        <v>1612</v>
      </c>
      <c r="D20" s="555" t="s">
        <v>1599</v>
      </c>
      <c r="E20" s="997"/>
      <c r="F20" s="1014" t="s">
        <v>1613</v>
      </c>
      <c r="G20" s="1014" t="s">
        <v>1574</v>
      </c>
      <c r="H20" s="1039">
        <v>1</v>
      </c>
      <c r="I20" s="1036" t="s">
        <v>1602</v>
      </c>
      <c r="J20" s="1036" t="s">
        <v>865</v>
      </c>
      <c r="K20" s="1036" t="s">
        <v>61</v>
      </c>
      <c r="L20" s="1035" t="s">
        <v>1614</v>
      </c>
      <c r="M20" s="1031">
        <v>45366</v>
      </c>
      <c r="N20" s="1033">
        <v>45807</v>
      </c>
      <c r="O20" s="1055">
        <f t="shared" si="7"/>
        <v>63</v>
      </c>
      <c r="P20" s="1057">
        <v>45693</v>
      </c>
      <c r="Q20" s="1018">
        <f>P20</f>
        <v>45693</v>
      </c>
      <c r="R20" s="1012">
        <f t="shared" si="1"/>
        <v>-16.285714285714285</v>
      </c>
      <c r="S20" s="1053" t="str">
        <f t="shared" ca="1" si="8"/>
        <v>En tiempo</v>
      </c>
      <c r="T20" s="1059">
        <v>0.95</v>
      </c>
      <c r="U20" s="1047">
        <f t="shared" si="9"/>
        <v>0.95</v>
      </c>
      <c r="V20" s="1047" t="str">
        <f t="shared" si="10"/>
        <v>100%</v>
      </c>
      <c r="W20" s="1049" t="str">
        <f>IF(P20&lt;=N20,"Cumple","Incumple")</f>
        <v>Cumple</v>
      </c>
      <c r="X20" s="1051" t="s">
        <v>3197</v>
      </c>
      <c r="Y20" s="1037" t="s">
        <v>3198</v>
      </c>
      <c r="Z20" s="1047">
        <f t="shared" si="11"/>
        <v>0.97499999999999998</v>
      </c>
      <c r="AA20" s="1041">
        <v>1</v>
      </c>
      <c r="AB20" s="1041">
        <v>1</v>
      </c>
      <c r="AC20" s="1043">
        <f t="shared" si="12"/>
        <v>0.9916666666666667</v>
      </c>
      <c r="AD20" s="1045" t="s">
        <v>3213</v>
      </c>
    </row>
    <row r="21" spans="1:30" s="226" customFormat="1" ht="129.75" customHeight="1" x14ac:dyDescent="0.2">
      <c r="A21" s="545" t="s">
        <v>202</v>
      </c>
      <c r="B21" s="557" t="s">
        <v>53</v>
      </c>
      <c r="C21" s="556" t="s">
        <v>1615</v>
      </c>
      <c r="D21" s="558" t="s">
        <v>1599</v>
      </c>
      <c r="E21" s="997"/>
      <c r="F21" s="1028"/>
      <c r="G21" s="1028"/>
      <c r="H21" s="1040"/>
      <c r="I21" s="1036"/>
      <c r="J21" s="1036"/>
      <c r="K21" s="1036"/>
      <c r="L21" s="1035"/>
      <c r="M21" s="1032"/>
      <c r="N21" s="1034"/>
      <c r="O21" s="1056"/>
      <c r="P21" s="1058"/>
      <c r="Q21" s="1019"/>
      <c r="R21" s="1013"/>
      <c r="S21" s="1054"/>
      <c r="T21" s="1060"/>
      <c r="U21" s="1048"/>
      <c r="V21" s="1048"/>
      <c r="W21" s="1050"/>
      <c r="X21" s="1052"/>
      <c r="Y21" s="1038"/>
      <c r="Z21" s="1048"/>
      <c r="AA21" s="1042"/>
      <c r="AB21" s="1042"/>
      <c r="AC21" s="1044"/>
      <c r="AD21" s="1046"/>
    </row>
    <row r="22" spans="1:30" s="226" customFormat="1" ht="122.25" customHeight="1" x14ac:dyDescent="0.2">
      <c r="A22" s="1004" t="s">
        <v>202</v>
      </c>
      <c r="B22" s="1020" t="s">
        <v>53</v>
      </c>
      <c r="C22" s="1025" t="s">
        <v>1616</v>
      </c>
      <c r="D22" s="1025" t="s">
        <v>1617</v>
      </c>
      <c r="E22" s="1025" t="s">
        <v>1618</v>
      </c>
      <c r="F22" s="540" t="s">
        <v>1619</v>
      </c>
      <c r="G22" s="541" t="s">
        <v>1620</v>
      </c>
      <c r="H22" s="548">
        <v>1</v>
      </c>
      <c r="I22" s="541" t="s">
        <v>1621</v>
      </c>
      <c r="J22" s="541" t="s">
        <v>60</v>
      </c>
      <c r="K22" s="541" t="s">
        <v>61</v>
      </c>
      <c r="L22" s="541" t="s">
        <v>1538</v>
      </c>
      <c r="M22" s="542">
        <v>45366</v>
      </c>
      <c r="N22" s="529">
        <v>45807</v>
      </c>
      <c r="O22" s="785">
        <f>(N22-M22)/7</f>
        <v>63</v>
      </c>
      <c r="P22" s="786">
        <v>45693</v>
      </c>
      <c r="Q22" s="530">
        <f>P22</f>
        <v>45693</v>
      </c>
      <c r="R22" s="433">
        <f>(Q22-M22)/7-O22</f>
        <v>-16.285714285714285</v>
      </c>
      <c r="S22" s="434" t="str">
        <f ca="1">IF((N22-TODAY())/7&gt;=0,"En tiempo","Alerta")</f>
        <v>En tiempo</v>
      </c>
      <c r="T22" s="787">
        <v>0.2</v>
      </c>
      <c r="U22" s="408">
        <f>IF(T22/H22=1,1,+T22/H22)</f>
        <v>0.2</v>
      </c>
      <c r="V22" s="408" t="str">
        <f>IF(R22&gt;O22,0%,IF(R22&lt;=0,"100%",1-(R22/O22)))</f>
        <v>100%</v>
      </c>
      <c r="W22" s="439" t="str">
        <f>IF(P22&lt;=N22,"Cumple","Incumple")</f>
        <v>Cumple</v>
      </c>
      <c r="X22" s="788" t="s">
        <v>3199</v>
      </c>
      <c r="Y22" s="305" t="s">
        <v>1622</v>
      </c>
      <c r="Z22" s="408">
        <f>(U22+V22)/2</f>
        <v>0.6</v>
      </c>
      <c r="AA22" s="436"/>
      <c r="AB22" s="436"/>
      <c r="AC22" s="437"/>
      <c r="AD22" s="793"/>
    </row>
    <row r="23" spans="1:30" s="226" customFormat="1" ht="135.75" customHeight="1" x14ac:dyDescent="0.2">
      <c r="A23" s="1005"/>
      <c r="B23" s="1021"/>
      <c r="C23" s="1026"/>
      <c r="D23" s="1026"/>
      <c r="E23" s="1026"/>
      <c r="F23" s="535" t="s">
        <v>1623</v>
      </c>
      <c r="G23" s="537" t="s">
        <v>1624</v>
      </c>
      <c r="H23" s="549">
        <v>1</v>
      </c>
      <c r="I23" s="537" t="s">
        <v>1625</v>
      </c>
      <c r="J23" s="537" t="s">
        <v>60</v>
      </c>
      <c r="K23" s="537" t="s">
        <v>61</v>
      </c>
      <c r="L23" s="537" t="s">
        <v>1614</v>
      </c>
      <c r="M23" s="542">
        <v>45366</v>
      </c>
      <c r="N23" s="529">
        <v>45807</v>
      </c>
      <c r="O23" s="785">
        <f>(N23-M23)/7</f>
        <v>63</v>
      </c>
      <c r="P23" s="786">
        <v>45693</v>
      </c>
      <c r="Q23" s="530">
        <f t="shared" ref="Q23:Q24" si="13">P23</f>
        <v>45693</v>
      </c>
      <c r="R23" s="433">
        <f>(Q23-M23)/7-O23</f>
        <v>-16.285714285714285</v>
      </c>
      <c r="S23" s="434" t="str">
        <f ca="1">IF((N23-TODAY())/7&gt;=0,"En tiempo","Alerta")</f>
        <v>En tiempo</v>
      </c>
      <c r="T23" s="787">
        <v>0.8</v>
      </c>
      <c r="U23" s="408">
        <f>IF(T23/H23=1,1,+T23/H23)</f>
        <v>0.8</v>
      </c>
      <c r="V23" s="408" t="str">
        <f>IF(R23&gt;O23,0%,IF(R23&lt;=0,"100%",1-(R23/O23)))</f>
        <v>100%</v>
      </c>
      <c r="W23" s="439" t="str">
        <f>IF(P23&lt;=N23,"Cumple","Incumple")</f>
        <v>Cumple</v>
      </c>
      <c r="X23" s="788" t="s">
        <v>3199</v>
      </c>
      <c r="Y23" s="305" t="s">
        <v>1626</v>
      </c>
      <c r="Z23" s="408">
        <f>(U23+V23)/2</f>
        <v>0.9</v>
      </c>
      <c r="AA23" s="436"/>
      <c r="AB23" s="436"/>
      <c r="AC23" s="437"/>
      <c r="AD23" s="793"/>
    </row>
    <row r="24" spans="1:30" s="226" customFormat="1" ht="111" customHeight="1" x14ac:dyDescent="0.2">
      <c r="A24" s="1006"/>
      <c r="B24" s="1022"/>
      <c r="C24" s="1027"/>
      <c r="D24" s="1027"/>
      <c r="E24" s="1027"/>
      <c r="F24" s="535" t="s">
        <v>1627</v>
      </c>
      <c r="G24" s="537" t="s">
        <v>168</v>
      </c>
      <c r="H24" s="549">
        <v>1</v>
      </c>
      <c r="I24" s="537" t="s">
        <v>1628</v>
      </c>
      <c r="J24" s="537" t="s">
        <v>60</v>
      </c>
      <c r="K24" s="537" t="s">
        <v>215</v>
      </c>
      <c r="L24" s="537" t="s">
        <v>1629</v>
      </c>
      <c r="M24" s="542">
        <v>45366</v>
      </c>
      <c r="N24" s="529">
        <v>45807</v>
      </c>
      <c r="O24" s="785">
        <f>(N24-M24)/7</f>
        <v>63</v>
      </c>
      <c r="P24" s="786">
        <v>45693</v>
      </c>
      <c r="Q24" s="530">
        <f t="shared" si="13"/>
        <v>45693</v>
      </c>
      <c r="R24" s="433">
        <f>(Q24-M24)/7-O24</f>
        <v>-16.285714285714285</v>
      </c>
      <c r="S24" s="434" t="str">
        <f ca="1">IF((N24-TODAY())/7&gt;=0,"En tiempo","Alerta")</f>
        <v>En tiempo</v>
      </c>
      <c r="T24" s="787">
        <v>0</v>
      </c>
      <c r="U24" s="408">
        <f>IF(T24/H24=1,1,+T24/H24)</f>
        <v>0</v>
      </c>
      <c r="V24" s="408" t="str">
        <f>IF(R24&gt;O24,0%,IF(R24&lt;=0,"100%",1-(R24/O24)))</f>
        <v>100%</v>
      </c>
      <c r="W24" s="439" t="str">
        <f>IF(P24&lt;=N24,"Cumple","Incumple")</f>
        <v>Cumple</v>
      </c>
      <c r="X24" s="788" t="s">
        <v>3199</v>
      </c>
      <c r="Y24" s="305" t="s">
        <v>1630</v>
      </c>
      <c r="Z24" s="408">
        <f>(U24+V24)/2</f>
        <v>0.5</v>
      </c>
      <c r="AA24" s="436"/>
      <c r="AB24" s="436"/>
      <c r="AC24" s="437"/>
      <c r="AD24" s="793"/>
    </row>
    <row r="25" spans="1:30" s="226" customFormat="1" ht="93.75" customHeight="1" x14ac:dyDescent="0.2">
      <c r="A25" s="539" t="s">
        <v>202</v>
      </c>
      <c r="B25" s="539" t="s">
        <v>53</v>
      </c>
      <c r="C25" s="546" t="s">
        <v>1631</v>
      </c>
      <c r="D25" s="546" t="s">
        <v>1632</v>
      </c>
      <c r="E25" s="546" t="s">
        <v>1633</v>
      </c>
      <c r="F25" s="546" t="s">
        <v>1634</v>
      </c>
      <c r="G25" s="537" t="s">
        <v>1635</v>
      </c>
      <c r="H25" s="549">
        <v>1</v>
      </c>
      <c r="I25" s="537" t="s">
        <v>1636</v>
      </c>
      <c r="J25" s="537" t="s">
        <v>865</v>
      </c>
      <c r="K25" s="537" t="s">
        <v>61</v>
      </c>
      <c r="L25" s="537" t="s">
        <v>1637</v>
      </c>
      <c r="M25" s="542">
        <v>45366</v>
      </c>
      <c r="N25" s="529">
        <v>45807</v>
      </c>
      <c r="O25" s="785">
        <f>(N25-M25)/7</f>
        <v>63</v>
      </c>
      <c r="P25" s="786">
        <v>45693</v>
      </c>
      <c r="Q25" s="530">
        <f>P25</f>
        <v>45693</v>
      </c>
      <c r="R25" s="433">
        <f>(Q25-M25)/7-O25</f>
        <v>-16.285714285714285</v>
      </c>
      <c r="S25" s="434" t="str">
        <f ca="1">IF((N25-TODAY())/7&gt;=0,"En tiempo","Alerta")</f>
        <v>En tiempo</v>
      </c>
      <c r="T25" s="787">
        <v>0.5</v>
      </c>
      <c r="U25" s="408">
        <f>IF(T25/H25=1,1,+T25/H25)</f>
        <v>0.5</v>
      </c>
      <c r="V25" s="408" t="str">
        <f>IF(R25&gt;O25,0%,IF(R25&lt;=0,"100%",1-(R25/O25)))</f>
        <v>100%</v>
      </c>
      <c r="W25" s="439" t="str">
        <f>IF(P25&lt;=N25,"Cumple","Incumple")</f>
        <v>Cumple</v>
      </c>
      <c r="X25" s="788" t="s">
        <v>1638</v>
      </c>
      <c r="Y25" s="305" t="s">
        <v>1639</v>
      </c>
      <c r="Z25" s="408">
        <f>(U25+V25)/2</f>
        <v>0.75</v>
      </c>
      <c r="AA25" s="436"/>
      <c r="AB25" s="436"/>
      <c r="AC25" s="437"/>
      <c r="AD25" s="794"/>
    </row>
    <row r="26" spans="1:30" s="226" customFormat="1" ht="88.5" customHeight="1" x14ac:dyDescent="0.2">
      <c r="A26" s="1004" t="s">
        <v>202</v>
      </c>
      <c r="B26" s="1023" t="s">
        <v>53</v>
      </c>
      <c r="C26" s="997" t="s">
        <v>1640</v>
      </c>
      <c r="D26" s="997" t="s">
        <v>1641</v>
      </c>
      <c r="E26" s="997" t="s">
        <v>1642</v>
      </c>
      <c r="F26" s="540" t="s">
        <v>1643</v>
      </c>
      <c r="G26" s="541" t="s">
        <v>1644</v>
      </c>
      <c r="H26" s="541">
        <v>1</v>
      </c>
      <c r="I26" s="541" t="s">
        <v>1645</v>
      </c>
      <c r="J26" s="541" t="s">
        <v>865</v>
      </c>
      <c r="K26" s="541" t="s">
        <v>215</v>
      </c>
      <c r="L26" s="541" t="s">
        <v>1646</v>
      </c>
      <c r="M26" s="542">
        <v>45366</v>
      </c>
      <c r="N26" s="529">
        <v>45807</v>
      </c>
      <c r="O26" s="785">
        <f t="shared" ref="O26:O33" si="14">(N26-M26)/7</f>
        <v>63</v>
      </c>
      <c r="P26" s="786">
        <v>45502</v>
      </c>
      <c r="Q26" s="530">
        <v>45502</v>
      </c>
      <c r="R26" s="433">
        <f>(Q26-M26)/7-O26</f>
        <v>-43.571428571428569</v>
      </c>
      <c r="S26" s="434" t="str">
        <f t="shared" ref="S26:S33" ca="1" si="15">IF((N26-TODAY())/7&gt;=0,"En tiempo","Alerta")</f>
        <v>En tiempo</v>
      </c>
      <c r="T26" s="787">
        <v>0.1</v>
      </c>
      <c r="U26" s="408">
        <f t="shared" ref="U26:U33" si="16">IF(T26/H26=1,1,+T26/H26)</f>
        <v>0.1</v>
      </c>
      <c r="V26" s="408" t="str">
        <f t="shared" ref="V26:V33" si="17">IF(R26&gt;O26,0%,IF(R26&lt;=0,"100%",1-(R26/O26)))</f>
        <v>100%</v>
      </c>
      <c r="W26" s="439" t="str">
        <f>IF(Q26&lt;=N26,"Cumple","Incumple")</f>
        <v>Cumple</v>
      </c>
      <c r="X26" s="788" t="s">
        <v>3200</v>
      </c>
      <c r="Y26" s="305" t="s">
        <v>3201</v>
      </c>
      <c r="Z26" s="408">
        <f t="shared" ref="Z26:Z33" si="18">(U26+V26)/2</f>
        <v>0.55000000000000004</v>
      </c>
      <c r="AA26" s="436"/>
      <c r="AB26" s="436"/>
      <c r="AC26" s="440"/>
      <c r="AD26" s="793"/>
    </row>
    <row r="27" spans="1:30" s="226" customFormat="1" ht="80.25" customHeight="1" x14ac:dyDescent="0.2">
      <c r="A27" s="1006"/>
      <c r="B27" s="1024"/>
      <c r="C27" s="997"/>
      <c r="D27" s="997"/>
      <c r="E27" s="997"/>
      <c r="F27" s="535" t="s">
        <v>1647</v>
      </c>
      <c r="G27" s="537" t="s">
        <v>1648</v>
      </c>
      <c r="H27" s="549">
        <v>1</v>
      </c>
      <c r="I27" s="537" t="s">
        <v>1649</v>
      </c>
      <c r="J27" s="537" t="s">
        <v>865</v>
      </c>
      <c r="K27" s="537" t="s">
        <v>61</v>
      </c>
      <c r="L27" s="537" t="s">
        <v>1650</v>
      </c>
      <c r="M27" s="542">
        <v>45366</v>
      </c>
      <c r="N27" s="534">
        <v>45807</v>
      </c>
      <c r="O27" s="785">
        <f t="shared" si="14"/>
        <v>63</v>
      </c>
      <c r="P27" s="786">
        <v>45502</v>
      </c>
      <c r="Q27" s="530">
        <f>P27</f>
        <v>45502</v>
      </c>
      <c r="R27" s="433">
        <f t="shared" si="1"/>
        <v>-43.571428571428569</v>
      </c>
      <c r="S27" s="434" t="str">
        <f t="shared" ca="1" si="15"/>
        <v>En tiempo</v>
      </c>
      <c r="T27" s="787"/>
      <c r="U27" s="408">
        <f t="shared" si="16"/>
        <v>0</v>
      </c>
      <c r="V27" s="408" t="str">
        <f t="shared" si="17"/>
        <v>100%</v>
      </c>
      <c r="W27" s="439" t="str">
        <f>IF(P27&lt;=N27,"Cumple","Incumple")</f>
        <v>Cumple</v>
      </c>
      <c r="X27" s="788" t="s">
        <v>1651</v>
      </c>
      <c r="Y27" s="305" t="s">
        <v>1569</v>
      </c>
      <c r="Z27" s="408">
        <f t="shared" si="18"/>
        <v>0.5</v>
      </c>
      <c r="AA27" s="436"/>
      <c r="AB27" s="436"/>
      <c r="AC27" s="440"/>
      <c r="AD27" s="793"/>
    </row>
    <row r="28" spans="1:30" s="226" customFormat="1" ht="171" customHeight="1" x14ac:dyDescent="0.2">
      <c r="A28" s="545" t="s">
        <v>202</v>
      </c>
      <c r="B28" s="545" t="s">
        <v>53</v>
      </c>
      <c r="C28" s="540" t="s">
        <v>1652</v>
      </c>
      <c r="D28" s="541" t="s">
        <v>1653</v>
      </c>
      <c r="E28" s="541" t="s">
        <v>1654</v>
      </c>
      <c r="F28" s="541" t="s">
        <v>1655</v>
      </c>
      <c r="G28" s="541" t="s">
        <v>1656</v>
      </c>
      <c r="H28" s="548">
        <v>1</v>
      </c>
      <c r="I28" s="541" t="s">
        <v>1602</v>
      </c>
      <c r="J28" s="541" t="s">
        <v>865</v>
      </c>
      <c r="K28" s="541" t="s">
        <v>61</v>
      </c>
      <c r="L28" s="541" t="s">
        <v>1657</v>
      </c>
      <c r="M28" s="542">
        <v>45366</v>
      </c>
      <c r="N28" s="534">
        <v>45807</v>
      </c>
      <c r="O28" s="785">
        <f t="shared" si="14"/>
        <v>63</v>
      </c>
      <c r="P28" s="786">
        <v>45693</v>
      </c>
      <c r="Q28" s="530">
        <f>P28</f>
        <v>45693</v>
      </c>
      <c r="R28" s="433">
        <f t="shared" si="1"/>
        <v>-16.285714285714285</v>
      </c>
      <c r="S28" s="434" t="str">
        <f t="shared" ca="1" si="15"/>
        <v>En tiempo</v>
      </c>
      <c r="T28" s="787">
        <v>0.5</v>
      </c>
      <c r="U28" s="408">
        <f t="shared" si="16"/>
        <v>0.5</v>
      </c>
      <c r="V28" s="408" t="str">
        <f t="shared" si="17"/>
        <v>100%</v>
      </c>
      <c r="W28" s="439" t="str">
        <f t="shared" ref="W28:W31" si="19">IF(P28&lt;=N28,"Cumple","Incumple")</f>
        <v>Cumple</v>
      </c>
      <c r="X28" s="788" t="s">
        <v>1658</v>
      </c>
      <c r="Y28" s="305" t="s">
        <v>3202</v>
      </c>
      <c r="Z28" s="408">
        <f t="shared" si="18"/>
        <v>0.75</v>
      </c>
      <c r="AA28" s="436"/>
      <c r="AB28" s="436"/>
      <c r="AC28" s="440"/>
      <c r="AD28" s="793"/>
    </row>
    <row r="29" spans="1:30" s="226" customFormat="1" ht="225.75" customHeight="1" x14ac:dyDescent="0.2">
      <c r="A29" s="1004" t="s">
        <v>202</v>
      </c>
      <c r="B29" s="1004" t="s">
        <v>53</v>
      </c>
      <c r="C29" s="1014" t="s">
        <v>1659</v>
      </c>
      <c r="D29" s="1014" t="s">
        <v>1660</v>
      </c>
      <c r="E29" s="1016" t="s">
        <v>1661</v>
      </c>
      <c r="F29" s="540" t="s">
        <v>1662</v>
      </c>
      <c r="G29" s="541" t="s">
        <v>1663</v>
      </c>
      <c r="H29" s="548">
        <v>1</v>
      </c>
      <c r="I29" s="541" t="s">
        <v>1602</v>
      </c>
      <c r="J29" s="541" t="s">
        <v>865</v>
      </c>
      <c r="K29" s="541" t="s">
        <v>215</v>
      </c>
      <c r="L29" s="541" t="s">
        <v>1664</v>
      </c>
      <c r="M29" s="542">
        <v>45370</v>
      </c>
      <c r="N29" s="529">
        <v>45807</v>
      </c>
      <c r="O29" s="785">
        <f t="shared" si="14"/>
        <v>62.428571428571431</v>
      </c>
      <c r="P29" s="786">
        <v>45693</v>
      </c>
      <c r="Q29" s="530">
        <f t="shared" ref="Q29:Q30" si="20">P29</f>
        <v>45693</v>
      </c>
      <c r="R29" s="433">
        <f t="shared" si="1"/>
        <v>-16.285714285714285</v>
      </c>
      <c r="S29" s="434" t="str">
        <f t="shared" ca="1" si="15"/>
        <v>En tiempo</v>
      </c>
      <c r="T29" s="787">
        <v>0.9</v>
      </c>
      <c r="U29" s="408">
        <f t="shared" si="16"/>
        <v>0.9</v>
      </c>
      <c r="V29" s="408" t="str">
        <f t="shared" si="17"/>
        <v>100%</v>
      </c>
      <c r="W29" s="439" t="str">
        <f t="shared" si="19"/>
        <v>Cumple</v>
      </c>
      <c r="X29" s="788" t="s">
        <v>3203</v>
      </c>
      <c r="Y29" s="792" t="s">
        <v>3204</v>
      </c>
      <c r="Z29" s="408">
        <f t="shared" si="18"/>
        <v>0.95</v>
      </c>
      <c r="AA29" s="436">
        <v>1</v>
      </c>
      <c r="AB29" s="436">
        <v>1</v>
      </c>
      <c r="AC29" s="440">
        <f t="shared" ref="AC29:AC30" si="21">AVERAGE(Z29:AB29)</f>
        <v>0.98333333333333339</v>
      </c>
      <c r="AD29" s="795" t="s">
        <v>3214</v>
      </c>
    </row>
    <row r="30" spans="1:30" s="226" customFormat="1" ht="217.5" customHeight="1" x14ac:dyDescent="0.2">
      <c r="A30" s="1005"/>
      <c r="B30" s="1005"/>
      <c r="C30" s="1015"/>
      <c r="D30" s="1015"/>
      <c r="E30" s="1017"/>
      <c r="F30" s="535" t="s">
        <v>1665</v>
      </c>
      <c r="G30" s="537" t="s">
        <v>1666</v>
      </c>
      <c r="H30" s="549">
        <v>1</v>
      </c>
      <c r="I30" s="537" t="s">
        <v>1575</v>
      </c>
      <c r="J30" s="537" t="s">
        <v>865</v>
      </c>
      <c r="K30" s="537" t="s">
        <v>61</v>
      </c>
      <c r="L30" s="537" t="s">
        <v>1667</v>
      </c>
      <c r="M30" s="542">
        <v>45370</v>
      </c>
      <c r="N30" s="529">
        <v>45807</v>
      </c>
      <c r="O30" s="785">
        <f t="shared" si="14"/>
        <v>62.428571428571431</v>
      </c>
      <c r="P30" s="786">
        <v>45693</v>
      </c>
      <c r="Q30" s="530">
        <f t="shared" si="20"/>
        <v>45693</v>
      </c>
      <c r="R30" s="433">
        <f t="shared" si="1"/>
        <v>-16.285714285714285</v>
      </c>
      <c r="S30" s="434" t="str">
        <f t="shared" ca="1" si="15"/>
        <v>En tiempo</v>
      </c>
      <c r="T30" s="787">
        <v>0.9</v>
      </c>
      <c r="U30" s="408">
        <f t="shared" si="16"/>
        <v>0.9</v>
      </c>
      <c r="V30" s="408" t="str">
        <f t="shared" si="17"/>
        <v>100%</v>
      </c>
      <c r="W30" s="439" t="str">
        <f>IF(P30&lt;=N30,"Cumple","Incumple")</f>
        <v>Cumple</v>
      </c>
      <c r="X30" s="788" t="s">
        <v>3205</v>
      </c>
      <c r="Y30" s="305" t="s">
        <v>3206</v>
      </c>
      <c r="Z30" s="408">
        <f t="shared" si="18"/>
        <v>0.95</v>
      </c>
      <c r="AA30" s="436">
        <v>1</v>
      </c>
      <c r="AB30" s="436">
        <v>1</v>
      </c>
      <c r="AC30" s="440">
        <f t="shared" si="21"/>
        <v>0.98333333333333339</v>
      </c>
      <c r="AD30" s="793" t="s">
        <v>3215</v>
      </c>
    </row>
    <row r="31" spans="1:30" s="226" customFormat="1" ht="53.25" customHeight="1" x14ac:dyDescent="0.2">
      <c r="A31" s="1005"/>
      <c r="B31" s="1005"/>
      <c r="C31" s="1015"/>
      <c r="D31" s="1015"/>
      <c r="E31" s="1017"/>
      <c r="F31" s="550" t="s">
        <v>1668</v>
      </c>
      <c r="G31" s="537" t="s">
        <v>1669</v>
      </c>
      <c r="H31" s="537">
        <v>1</v>
      </c>
      <c r="I31" s="537" t="s">
        <v>1670</v>
      </c>
      <c r="J31" s="537" t="s">
        <v>865</v>
      </c>
      <c r="K31" s="537" t="s">
        <v>61</v>
      </c>
      <c r="L31" s="537" t="s">
        <v>1671</v>
      </c>
      <c r="M31" s="538">
        <v>45366</v>
      </c>
      <c r="N31" s="529">
        <v>45807</v>
      </c>
      <c r="O31" s="785">
        <f t="shared" si="14"/>
        <v>63</v>
      </c>
      <c r="P31" s="786">
        <v>45693</v>
      </c>
      <c r="Q31" s="530">
        <f>P31</f>
        <v>45693</v>
      </c>
      <c r="R31" s="433">
        <f t="shared" si="1"/>
        <v>-16.285714285714285</v>
      </c>
      <c r="S31" s="434" t="str">
        <f t="shared" ca="1" si="15"/>
        <v>En tiempo</v>
      </c>
      <c r="T31" s="787"/>
      <c r="U31" s="408">
        <f t="shared" si="16"/>
        <v>0</v>
      </c>
      <c r="V31" s="408" t="str">
        <f t="shared" si="17"/>
        <v>100%</v>
      </c>
      <c r="W31" s="439" t="str">
        <f t="shared" si="19"/>
        <v>Cumple</v>
      </c>
      <c r="X31" s="788" t="s">
        <v>1547</v>
      </c>
      <c r="Y31" s="305" t="s">
        <v>1569</v>
      </c>
      <c r="Z31" s="408">
        <f t="shared" si="18"/>
        <v>0.5</v>
      </c>
      <c r="AA31" s="436"/>
      <c r="AB31" s="436"/>
      <c r="AC31" s="437"/>
      <c r="AD31" s="441"/>
    </row>
    <row r="32" spans="1:30" s="226" customFormat="1" ht="66" customHeight="1" x14ac:dyDescent="0.2">
      <c r="A32" s="1011" t="s">
        <v>202</v>
      </c>
      <c r="B32" s="1011" t="s">
        <v>53</v>
      </c>
      <c r="C32" s="997" t="s">
        <v>1672</v>
      </c>
      <c r="D32" s="997" t="s">
        <v>1673</v>
      </c>
      <c r="E32" s="997" t="s">
        <v>1674</v>
      </c>
      <c r="F32" s="540" t="s">
        <v>1675</v>
      </c>
      <c r="G32" s="541" t="s">
        <v>1676</v>
      </c>
      <c r="H32" s="548">
        <v>1</v>
      </c>
      <c r="I32" s="541" t="s">
        <v>1602</v>
      </c>
      <c r="J32" s="541" t="s">
        <v>865</v>
      </c>
      <c r="K32" s="541" t="s">
        <v>61</v>
      </c>
      <c r="L32" s="541" t="s">
        <v>1677</v>
      </c>
      <c r="M32" s="542">
        <v>45369</v>
      </c>
      <c r="N32" s="529">
        <v>45807</v>
      </c>
      <c r="O32" s="785">
        <f t="shared" si="14"/>
        <v>62.571428571428569</v>
      </c>
      <c r="P32" s="786">
        <v>45693</v>
      </c>
      <c r="Q32" s="530">
        <v>45502</v>
      </c>
      <c r="R32" s="433">
        <f>(Q32-M32)/7-O32</f>
        <v>-43.571428571428569</v>
      </c>
      <c r="S32" s="434" t="str">
        <f t="shared" ca="1" si="15"/>
        <v>En tiempo</v>
      </c>
      <c r="T32" s="787">
        <v>0</v>
      </c>
      <c r="U32" s="408">
        <f t="shared" si="16"/>
        <v>0</v>
      </c>
      <c r="V32" s="408" t="str">
        <f t="shared" si="17"/>
        <v>100%</v>
      </c>
      <c r="W32" s="439" t="str">
        <f>IF(Q32&lt;=N32,"Cumple","Incumple")</f>
        <v>Cumple</v>
      </c>
      <c r="X32" s="788" t="s">
        <v>1547</v>
      </c>
      <c r="Y32" s="305" t="s">
        <v>1678</v>
      </c>
      <c r="Z32" s="408">
        <f t="shared" si="18"/>
        <v>0.5</v>
      </c>
      <c r="AA32" s="436"/>
      <c r="AB32" s="436"/>
      <c r="AC32" s="437"/>
      <c r="AD32" s="441"/>
    </row>
    <row r="33" spans="1:30" s="226" customFormat="1" ht="54.75" customHeight="1" x14ac:dyDescent="0.2">
      <c r="A33" s="1011"/>
      <c r="B33" s="1011"/>
      <c r="C33" s="997"/>
      <c r="D33" s="997"/>
      <c r="E33" s="997"/>
      <c r="F33" s="535" t="s">
        <v>1679</v>
      </c>
      <c r="G33" s="537" t="s">
        <v>1680</v>
      </c>
      <c r="H33" s="549">
        <v>1</v>
      </c>
      <c r="I33" s="537" t="s">
        <v>1602</v>
      </c>
      <c r="J33" s="537" t="s">
        <v>865</v>
      </c>
      <c r="K33" s="537" t="s">
        <v>61</v>
      </c>
      <c r="L33" s="537" t="s">
        <v>1681</v>
      </c>
      <c r="M33" s="538">
        <v>45385</v>
      </c>
      <c r="N33" s="534">
        <v>45807</v>
      </c>
      <c r="O33" s="785">
        <f t="shared" si="14"/>
        <v>60.285714285714285</v>
      </c>
      <c r="P33" s="786">
        <v>45693</v>
      </c>
      <c r="Q33" s="530">
        <f>P33</f>
        <v>45693</v>
      </c>
      <c r="R33" s="433">
        <f>(Q33-M33)/7-O33</f>
        <v>-16.285714285714285</v>
      </c>
      <c r="S33" s="434" t="str">
        <f t="shared" ca="1" si="15"/>
        <v>En tiempo</v>
      </c>
      <c r="T33" s="787"/>
      <c r="U33" s="408">
        <f t="shared" si="16"/>
        <v>0</v>
      </c>
      <c r="V33" s="408" t="str">
        <f t="shared" si="17"/>
        <v>100%</v>
      </c>
      <c r="W33" s="439" t="str">
        <f>IF(P33&lt;=N33,"Cumple","Incumple")</f>
        <v>Cumple</v>
      </c>
      <c r="X33" s="788" t="s">
        <v>1547</v>
      </c>
      <c r="Y33" s="305" t="s">
        <v>1678</v>
      </c>
      <c r="Z33" s="408">
        <f t="shared" si="18"/>
        <v>0.5</v>
      </c>
      <c r="AA33" s="436"/>
      <c r="AB33" s="436"/>
      <c r="AC33" s="437"/>
      <c r="AD33" s="441"/>
    </row>
    <row r="34" spans="1:30" ht="15" x14ac:dyDescent="0.2">
      <c r="G34" s="62" t="s">
        <v>314</v>
      </c>
      <c r="H34" s="63">
        <f>SUM(H7:H33)</f>
        <v>26</v>
      </c>
      <c r="R34" s="996" t="s">
        <v>195</v>
      </c>
      <c r="S34" s="996"/>
      <c r="T34" s="241">
        <f>SUM(T7:T33)</f>
        <v>13.25</v>
      </c>
      <c r="U34" s="242">
        <f>AVERAGE(U7:U33)</f>
        <v>0.50961538461538458</v>
      </c>
      <c r="V34" s="278"/>
      <c r="W34" s="243">
        <f>(COUNTIF(W7:W33,"Cumple")*100%)/COUNTA(W7:W33)</f>
        <v>0.84615384615384615</v>
      </c>
      <c r="AA34" s="996" t="s">
        <v>195</v>
      </c>
      <c r="AB34" s="996"/>
      <c r="AC34" s="243">
        <f>AVERAGE(AC7:AC33)</f>
        <v>0.85388808722142073</v>
      </c>
    </row>
  </sheetData>
  <autoFilter ref="A6:BB6" xr:uid="{6146A99F-9A2D-423A-A039-C215F5536FCF}"/>
  <mergeCells count="88">
    <mergeCell ref="AB20:AB21"/>
    <mergeCell ref="AC20:AC21"/>
    <mergeCell ref="AD20:AD21"/>
    <mergeCell ref="D26:D27"/>
    <mergeCell ref="E26:E27"/>
    <mergeCell ref="D22:D24"/>
    <mergeCell ref="E22:E24"/>
    <mergeCell ref="U20:U21"/>
    <mergeCell ref="V20:V21"/>
    <mergeCell ref="W20:W21"/>
    <mergeCell ref="X20:X21"/>
    <mergeCell ref="Z20:Z21"/>
    <mergeCell ref="S20:S21"/>
    <mergeCell ref="O20:O21"/>
    <mergeCell ref="P20:P21"/>
    <mergeCell ref="T20:T21"/>
    <mergeCell ref="AA34:AB34"/>
    <mergeCell ref="F8:F9"/>
    <mergeCell ref="E14:E17"/>
    <mergeCell ref="E18:E21"/>
    <mergeCell ref="M20:M21"/>
    <mergeCell ref="N20:N21"/>
    <mergeCell ref="L20:L21"/>
    <mergeCell ref="K20:K21"/>
    <mergeCell ref="J20:J21"/>
    <mergeCell ref="I20:I21"/>
    <mergeCell ref="R34:S34"/>
    <mergeCell ref="Y20:Y21"/>
    <mergeCell ref="H20:H21"/>
    <mergeCell ref="G20:G21"/>
    <mergeCell ref="AA20:AA21"/>
    <mergeCell ref="F20:F21"/>
    <mergeCell ref="R20:R21"/>
    <mergeCell ref="A29:A31"/>
    <mergeCell ref="B29:B31"/>
    <mergeCell ref="C29:C31"/>
    <mergeCell ref="D29:D31"/>
    <mergeCell ref="E29:E31"/>
    <mergeCell ref="A19:A20"/>
    <mergeCell ref="B19:B20"/>
    <mergeCell ref="Q20:Q21"/>
    <mergeCell ref="A22:A24"/>
    <mergeCell ref="B22:B24"/>
    <mergeCell ref="C26:C27"/>
    <mergeCell ref="A26:A27"/>
    <mergeCell ref="B26:B27"/>
    <mergeCell ref="C22:C24"/>
    <mergeCell ref="A32:A33"/>
    <mergeCell ref="B32:B33"/>
    <mergeCell ref="C32:C33"/>
    <mergeCell ref="D32:D33"/>
    <mergeCell ref="E32:E33"/>
    <mergeCell ref="A7:A9"/>
    <mergeCell ref="B7:B9"/>
    <mergeCell ref="C7:C9"/>
    <mergeCell ref="D7:D9"/>
    <mergeCell ref="E7:E9"/>
    <mergeCell ref="A10:A13"/>
    <mergeCell ref="B10:B13"/>
    <mergeCell ref="C10:C13"/>
    <mergeCell ref="D10:D13"/>
    <mergeCell ref="E10:E13"/>
    <mergeCell ref="Z5:AD5"/>
    <mergeCell ref="C3:F3"/>
    <mergeCell ref="G3:H3"/>
    <mergeCell ref="I3:N3"/>
    <mergeCell ref="O3:P3"/>
    <mergeCell ref="C4:F4"/>
    <mergeCell ref="G4:H4"/>
    <mergeCell ref="I4:N4"/>
    <mergeCell ref="O4:P4"/>
    <mergeCell ref="Q4:S4"/>
    <mergeCell ref="T4:U4"/>
    <mergeCell ref="V4:Y4"/>
    <mergeCell ref="A5:N5"/>
    <mergeCell ref="O5:Y5"/>
    <mergeCell ref="A4:B4"/>
    <mergeCell ref="A1:B1"/>
    <mergeCell ref="C1:N1"/>
    <mergeCell ref="O1:P2"/>
    <mergeCell ref="Q1:Y2"/>
    <mergeCell ref="Z1:AD4"/>
    <mergeCell ref="A2:B2"/>
    <mergeCell ref="C2:F2"/>
    <mergeCell ref="G2:H2"/>
    <mergeCell ref="I2:N2"/>
    <mergeCell ref="A3:B3"/>
    <mergeCell ref="Q3:W3"/>
  </mergeCells>
  <conditionalFormatting sqref="R7:R20 R22:R33">
    <cfRule type="cellIs" dxfId="160" priority="20" operator="greaterThan">
      <formula>0</formula>
    </cfRule>
    <cfRule type="cellIs" dxfId="159" priority="21" operator="lessThan">
      <formula>0</formula>
    </cfRule>
  </conditionalFormatting>
  <conditionalFormatting sqref="S7:S20 S22:S33">
    <cfRule type="containsText" dxfId="158" priority="14" operator="containsText" text="Alerta">
      <formula>NOT(ISERROR(SEARCH("Alerta",S7)))</formula>
    </cfRule>
    <cfRule type="containsText" dxfId="157" priority="15" operator="containsText" text="En tiempo">
      <formula>NOT(ISERROR(SEARCH("En tiempo",S7)))</formula>
    </cfRule>
  </conditionalFormatting>
  <conditionalFormatting sqref="U34">
    <cfRule type="cellIs" dxfId="156" priority="1" operator="between">
      <formula>0.29</formula>
      <formula>0</formula>
    </cfRule>
    <cfRule type="cellIs" dxfId="155" priority="2" operator="between">
      <formula>0.49</formula>
      <formula>0.3</formula>
    </cfRule>
    <cfRule type="cellIs" dxfId="154" priority="3" operator="between">
      <formula>0.79</formula>
      <formula>0.5</formula>
    </cfRule>
    <cfRule type="cellIs" dxfId="153" priority="4" operator="between">
      <formula>1</formula>
      <formula>0.8</formula>
    </cfRule>
  </conditionalFormatting>
  <conditionalFormatting sqref="U7:V20 Z7:Z20 U22:V33 Z22:Z33">
    <cfRule type="cellIs" dxfId="152" priority="5" operator="between">
      <formula>0.29</formula>
      <formula>0</formula>
    </cfRule>
    <cfRule type="cellIs" dxfId="151" priority="6" operator="between">
      <formula>0.49</formula>
      <formula>0.3</formula>
    </cfRule>
    <cfRule type="cellIs" dxfId="150" priority="7" operator="between">
      <formula>0.79</formula>
      <formula>0.5</formula>
    </cfRule>
    <cfRule type="cellIs" dxfId="149" priority="8" operator="between">
      <formula>1</formula>
      <formula>0.8</formula>
    </cfRule>
  </conditionalFormatting>
  <conditionalFormatting sqref="W7:W20 W22:W33">
    <cfRule type="containsText" dxfId="148" priority="12" operator="containsText" text="Incumple">
      <formula>NOT(ISERROR(SEARCH("Incumple",W7)))</formula>
    </cfRule>
    <cfRule type="containsText" dxfId="147" priority="13" operator="containsText" text="Cumple">
      <formula>NOT(ISERROR(SEARCH("Cumple",W7)))</formula>
    </cfRule>
  </conditionalFormatting>
  <conditionalFormatting sqref="W34">
    <cfRule type="cellIs" dxfId="146" priority="16" operator="between">
      <formula>0.19</formula>
      <formula>0</formula>
    </cfRule>
    <cfRule type="cellIs" dxfId="145" priority="17" operator="between">
      <formula>0.49</formula>
      <formula>0.2</formula>
    </cfRule>
    <cfRule type="cellIs" dxfId="144" priority="18" operator="between">
      <formula>0.89</formula>
      <formula>0.5</formula>
    </cfRule>
    <cfRule type="cellIs" dxfId="143" priority="19" operator="between">
      <formula>1</formula>
      <formula>0.9</formula>
    </cfRule>
  </conditionalFormatting>
  <conditionalFormatting sqref="AC7:AC20 AC22:AC34">
    <cfRule type="cellIs" dxfId="142" priority="9" operator="between">
      <formula>0.3</formula>
      <formula>0</formula>
    </cfRule>
    <cfRule type="cellIs" dxfId="141" priority="10" operator="between">
      <formula>0.6999</formula>
      <formula>0.3111</formula>
    </cfRule>
    <cfRule type="cellIs" dxfId="140" priority="11" operator="between">
      <formula>1</formula>
      <formula>0.7</formula>
    </cfRule>
  </conditionalFormatting>
  <dataValidations count="3">
    <dataValidation type="list" allowBlank="1" showInputMessage="1" showErrorMessage="1" sqref="A10:A12 A32 A28:A29 A7 A21:A22 A14:A19 A25:A26" xr:uid="{F1E475AD-15F0-4853-A34F-7B85C5761814}">
      <formula1>$AP$4:$AP$23</formula1>
    </dataValidation>
    <dataValidation type="list" allowBlank="1" showInputMessage="1" showErrorMessage="1" sqref="B7 B10:B12 B14:B19 B21:B22 B28:B29 B32 B25:B26" xr:uid="{295BCC17-21F4-49B6-A7F1-82B11B4BD418}">
      <formula1>$AV$5:$AV$7</formula1>
    </dataValidation>
    <dataValidation type="list" allowBlank="1" showInputMessage="1" showErrorMessage="1" errorTitle="Estado" error="No es un estado de los Planes de Mejoramiento" sqref="Q4:S4" xr:uid="{68B5EB96-8070-4B5A-A8E8-BB8E58781929}">
      <formula1>$AW$4:$AW$7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6B033-D962-4B7B-A107-8A1F3EA26E99}">
  <sheetPr>
    <tabColor rgb="FF00B0F0"/>
  </sheetPr>
  <dimension ref="A1:BB45"/>
  <sheetViews>
    <sheetView topLeftCell="L1" zoomScale="80" zoomScaleNormal="80" workbookViewId="0">
      <selection activeCell="Y7" sqref="Y7"/>
    </sheetView>
  </sheetViews>
  <sheetFormatPr baseColWidth="10" defaultColWidth="17.5703125" defaultRowHeight="12.75" x14ac:dyDescent="0.2"/>
  <cols>
    <col min="1" max="1" width="12.140625" style="53" customWidth="1"/>
    <col min="2" max="2" width="12.85546875" style="53" customWidth="1"/>
    <col min="3" max="3" width="52.140625" style="53" customWidth="1"/>
    <col min="4" max="4" width="32.85546875" style="53" customWidth="1"/>
    <col min="5" max="5" width="30.7109375" style="53" customWidth="1"/>
    <col min="6" max="6" width="38.140625" style="53" customWidth="1"/>
    <col min="7" max="7" width="32.85546875" style="53" customWidth="1"/>
    <col min="8" max="8" width="13" style="53" customWidth="1"/>
    <col min="9" max="9" width="26.5703125" style="53" customWidth="1"/>
    <col min="10" max="10" width="13.7109375" style="53" customWidth="1"/>
    <col min="11" max="11" width="21.42578125" style="53" customWidth="1"/>
    <col min="12" max="12" width="20.5703125" style="53" customWidth="1"/>
    <col min="13" max="14" width="13.42578125" style="53" customWidth="1"/>
    <col min="15" max="15" width="12" style="53" customWidth="1"/>
    <col min="16" max="17" width="12.85546875" style="53" customWidth="1"/>
    <col min="18" max="18" width="11.5703125" style="53" customWidth="1"/>
    <col min="19" max="19" width="11.140625" style="53" customWidth="1"/>
    <col min="20" max="20" width="15" style="53" customWidth="1"/>
    <col min="21" max="21" width="16.5703125" style="53" customWidth="1"/>
    <col min="22" max="22" width="13.42578125" style="53" customWidth="1"/>
    <col min="23" max="23" width="14.7109375" style="53" customWidth="1"/>
    <col min="24" max="24" width="70.5703125" style="53" customWidth="1"/>
    <col min="25" max="25" width="73.140625" style="53" customWidth="1"/>
    <col min="26" max="26" width="12.28515625" style="53" customWidth="1"/>
    <col min="27" max="27" width="13.42578125" style="53" customWidth="1"/>
    <col min="28" max="28" width="14.140625" style="53" customWidth="1"/>
    <col min="29" max="29" width="12.5703125" style="53" customWidth="1"/>
    <col min="30" max="30" width="72.42578125" style="53" customWidth="1"/>
    <col min="31" max="39" width="9.140625" bestFit="1" customWidth="1"/>
    <col min="40" max="41" width="9.140625" style="226" bestFit="1" customWidth="1"/>
    <col min="42" max="42" width="28.5703125" style="226" customWidth="1"/>
    <col min="43" max="43" width="42" style="226" customWidth="1"/>
    <col min="44" max="44" width="17.5703125" style="226" customWidth="1"/>
    <col min="45" max="45" width="51.42578125" style="226" customWidth="1"/>
    <col min="46" max="46" width="8.5703125" style="226" customWidth="1"/>
    <col min="47" max="47" width="7.140625" style="226" customWidth="1"/>
    <col min="48" max="48" width="20.85546875" style="226" customWidth="1"/>
    <col min="49" max="49" width="17.5703125" style="226" customWidth="1"/>
    <col min="50" max="50" width="22.42578125" style="226" customWidth="1"/>
    <col min="51" max="54" width="17.5703125" style="226"/>
  </cols>
  <sheetData>
    <row r="1" spans="1:30" ht="108" customHeight="1" x14ac:dyDescent="0.2">
      <c r="A1" s="1067" t="s">
        <v>0</v>
      </c>
      <c r="B1" s="1067"/>
      <c r="C1" s="1067" t="s">
        <v>1</v>
      </c>
      <c r="D1" s="1067"/>
      <c r="E1" s="1067"/>
      <c r="F1" s="1067"/>
      <c r="G1" s="1067"/>
      <c r="H1" s="1067"/>
      <c r="I1" s="1067"/>
      <c r="J1" s="1067"/>
      <c r="K1" s="1067"/>
      <c r="L1" s="1067"/>
      <c r="M1" s="1067"/>
      <c r="N1" s="1067"/>
      <c r="O1" s="1067"/>
      <c r="P1" s="1067"/>
      <c r="Q1" s="1067" t="s">
        <v>2</v>
      </c>
      <c r="R1" s="1067"/>
      <c r="S1" s="1067"/>
      <c r="T1" s="1067"/>
      <c r="U1" s="1067"/>
      <c r="V1" s="1067"/>
      <c r="W1" s="1067"/>
      <c r="X1" s="1067"/>
      <c r="Y1" s="1067"/>
      <c r="Z1" s="1067" t="s">
        <v>2</v>
      </c>
      <c r="AA1" s="1067"/>
      <c r="AB1" s="1067"/>
      <c r="AC1" s="1067"/>
      <c r="AD1" s="1067"/>
    </row>
    <row r="2" spans="1:30" ht="15" x14ac:dyDescent="0.2">
      <c r="A2" s="1067" t="s">
        <v>197</v>
      </c>
      <c r="B2" s="1067"/>
      <c r="C2" s="1067" t="s">
        <v>4</v>
      </c>
      <c r="D2" s="1068"/>
      <c r="E2" s="1068"/>
      <c r="F2" s="1068"/>
      <c r="G2" s="1067" t="s">
        <v>5</v>
      </c>
      <c r="H2" s="1067"/>
      <c r="I2" s="1067" t="s">
        <v>6</v>
      </c>
      <c r="J2" s="1067"/>
      <c r="K2" s="1067"/>
      <c r="L2" s="1067"/>
      <c r="M2" s="1067"/>
      <c r="N2" s="1067"/>
      <c r="O2" s="1067"/>
      <c r="P2" s="1067"/>
      <c r="Q2" s="1067"/>
      <c r="R2" s="1067"/>
      <c r="S2" s="1067"/>
      <c r="T2" s="1067"/>
      <c r="U2" s="1067"/>
      <c r="V2" s="1067"/>
      <c r="W2" s="1067"/>
      <c r="X2" s="1067"/>
      <c r="Y2" s="1067"/>
      <c r="Z2" s="1067"/>
      <c r="AA2" s="1067"/>
      <c r="AB2" s="1067"/>
      <c r="AC2" s="1067"/>
      <c r="AD2" s="1067"/>
    </row>
    <row r="3" spans="1:30" ht="15" x14ac:dyDescent="0.2">
      <c r="A3" s="1069" t="s">
        <v>7</v>
      </c>
      <c r="B3" s="1069"/>
      <c r="C3" s="1067" t="s">
        <v>1682</v>
      </c>
      <c r="D3" s="1067"/>
      <c r="E3" s="1067"/>
      <c r="F3" s="1067"/>
      <c r="G3" s="1069" t="s">
        <v>9</v>
      </c>
      <c r="H3" s="1069"/>
      <c r="I3" s="1074" t="s">
        <v>1683</v>
      </c>
      <c r="J3" s="1067"/>
      <c r="K3" s="1067"/>
      <c r="L3" s="1067"/>
      <c r="M3" s="1067"/>
      <c r="N3" s="1067"/>
      <c r="O3" s="1069" t="s">
        <v>10</v>
      </c>
      <c r="P3" s="1069"/>
      <c r="Q3" s="1070">
        <v>45693</v>
      </c>
      <c r="R3" s="1071"/>
      <c r="S3" s="1071"/>
      <c r="T3" s="1071"/>
      <c r="U3" s="1071"/>
      <c r="V3" s="1071"/>
      <c r="W3" s="1072"/>
      <c r="X3" s="332" t="s">
        <v>11</v>
      </c>
      <c r="Y3" s="333" t="s">
        <v>2903</v>
      </c>
      <c r="Z3" s="1067"/>
      <c r="AA3" s="1067"/>
      <c r="AB3" s="1067"/>
      <c r="AC3" s="1067"/>
      <c r="AD3" s="1067"/>
    </row>
    <row r="4" spans="1:30" ht="66" customHeight="1" x14ac:dyDescent="0.2">
      <c r="A4" s="1069" t="s">
        <v>13</v>
      </c>
      <c r="B4" s="1069"/>
      <c r="C4" s="1067" t="s">
        <v>1684</v>
      </c>
      <c r="D4" s="1067"/>
      <c r="E4" s="1067"/>
      <c r="F4" s="1067"/>
      <c r="G4" s="1069" t="s">
        <v>15</v>
      </c>
      <c r="H4" s="1069"/>
      <c r="I4" s="1074" t="s">
        <v>1685</v>
      </c>
      <c r="J4" s="1074"/>
      <c r="K4" s="1074"/>
      <c r="L4" s="1074"/>
      <c r="M4" s="1074"/>
      <c r="N4" s="1074"/>
      <c r="O4" s="1069" t="s">
        <v>16</v>
      </c>
      <c r="P4" s="1069"/>
      <c r="Q4" s="1067" t="s">
        <v>491</v>
      </c>
      <c r="R4" s="1067"/>
      <c r="S4" s="1067"/>
      <c r="T4" s="1069" t="s">
        <v>18</v>
      </c>
      <c r="U4" s="1069"/>
      <c r="V4" s="858" t="s">
        <v>1686</v>
      </c>
      <c r="W4" s="858"/>
      <c r="X4" s="858"/>
      <c r="Y4" s="858"/>
      <c r="Z4" s="1067"/>
      <c r="AA4" s="1067"/>
      <c r="AB4" s="1067"/>
      <c r="AC4" s="1067"/>
      <c r="AD4" s="1067"/>
    </row>
    <row r="5" spans="1:30" ht="15" x14ac:dyDescent="0.2">
      <c r="A5" s="1075" t="s">
        <v>19</v>
      </c>
      <c r="B5" s="1076"/>
      <c r="C5" s="1075"/>
      <c r="D5" s="1075"/>
      <c r="E5" s="1075"/>
      <c r="F5" s="1075"/>
      <c r="G5" s="1075"/>
      <c r="H5" s="1075"/>
      <c r="I5" s="1075"/>
      <c r="J5" s="1075"/>
      <c r="K5" s="1075"/>
      <c r="L5" s="1075"/>
      <c r="M5" s="1075"/>
      <c r="N5" s="1075"/>
      <c r="O5" s="1077" t="s">
        <v>20</v>
      </c>
      <c r="P5" s="1078"/>
      <c r="Q5" s="1078"/>
      <c r="R5" s="1078"/>
      <c r="S5" s="1078"/>
      <c r="T5" s="1078"/>
      <c r="U5" s="1078"/>
      <c r="V5" s="1078"/>
      <c r="W5" s="1078"/>
      <c r="X5" s="1078"/>
      <c r="Y5" s="1078"/>
      <c r="Z5" s="1073" t="s">
        <v>21</v>
      </c>
      <c r="AA5" s="1073"/>
      <c r="AB5" s="1073"/>
      <c r="AC5" s="1073"/>
      <c r="AD5" s="1073"/>
    </row>
    <row r="6" spans="1:30" ht="90" x14ac:dyDescent="0.2">
      <c r="A6" s="334" t="s">
        <v>22</v>
      </c>
      <c r="B6" s="335" t="s">
        <v>23</v>
      </c>
      <c r="C6" s="336" t="s">
        <v>24</v>
      </c>
      <c r="D6" s="337" t="s">
        <v>25</v>
      </c>
      <c r="E6" s="337" t="s">
        <v>26</v>
      </c>
      <c r="F6" s="337" t="s">
        <v>27</v>
      </c>
      <c r="G6" s="337" t="s">
        <v>28</v>
      </c>
      <c r="H6" s="337" t="s">
        <v>29</v>
      </c>
      <c r="I6" s="337" t="s">
        <v>30</v>
      </c>
      <c r="J6" s="337" t="s">
        <v>31</v>
      </c>
      <c r="K6" s="337" t="s">
        <v>32</v>
      </c>
      <c r="L6" s="337" t="s">
        <v>33</v>
      </c>
      <c r="M6" s="337" t="s">
        <v>34</v>
      </c>
      <c r="N6" s="334" t="s">
        <v>35</v>
      </c>
      <c r="O6" s="338" t="s">
        <v>36</v>
      </c>
      <c r="P6" s="339" t="s">
        <v>37</v>
      </c>
      <c r="Q6" s="340" t="s">
        <v>38</v>
      </c>
      <c r="R6" s="340" t="s">
        <v>39</v>
      </c>
      <c r="S6" s="340" t="s">
        <v>40</v>
      </c>
      <c r="T6" s="340" t="s">
        <v>41</v>
      </c>
      <c r="U6" s="340" t="s">
        <v>42</v>
      </c>
      <c r="V6" s="340" t="s">
        <v>43</v>
      </c>
      <c r="W6" s="340" t="s">
        <v>44</v>
      </c>
      <c r="X6" s="340" t="s">
        <v>45</v>
      </c>
      <c r="Y6" s="340" t="s">
        <v>46</v>
      </c>
      <c r="Z6" s="341" t="s">
        <v>47</v>
      </c>
      <c r="AA6" s="341" t="s">
        <v>1687</v>
      </c>
      <c r="AB6" s="341" t="s">
        <v>49</v>
      </c>
      <c r="AC6" s="341" t="s">
        <v>50</v>
      </c>
      <c r="AD6" s="341" t="s">
        <v>51</v>
      </c>
    </row>
    <row r="7" spans="1:30" s="226" customFormat="1" ht="162" customHeight="1" x14ac:dyDescent="0.2">
      <c r="A7" s="1061" t="s">
        <v>202</v>
      </c>
      <c r="B7" s="1061" t="s">
        <v>53</v>
      </c>
      <c r="C7" s="1063" t="s">
        <v>1688</v>
      </c>
      <c r="D7" s="1063" t="s">
        <v>1689</v>
      </c>
      <c r="E7" s="1063" t="s">
        <v>1690</v>
      </c>
      <c r="F7" s="559" t="s">
        <v>1691</v>
      </c>
      <c r="G7" s="559" t="s">
        <v>1692</v>
      </c>
      <c r="H7" s="559">
        <v>1</v>
      </c>
      <c r="I7" s="559" t="s">
        <v>1693</v>
      </c>
      <c r="J7" s="559" t="s">
        <v>501</v>
      </c>
      <c r="K7" s="559" t="s">
        <v>61</v>
      </c>
      <c r="L7" s="559" t="s">
        <v>1694</v>
      </c>
      <c r="M7" s="796">
        <v>45359</v>
      </c>
      <c r="N7" s="796">
        <v>45436</v>
      </c>
      <c r="O7" s="785">
        <f t="shared" ref="O7:O26" si="0">(N7-M7)/7</f>
        <v>11</v>
      </c>
      <c r="P7" s="786">
        <v>45483</v>
      </c>
      <c r="Q7" s="786">
        <v>45404</v>
      </c>
      <c r="R7" s="442">
        <f>(Q7-M7)/7-O7</f>
        <v>-4.5714285714285712</v>
      </c>
      <c r="S7" s="443" t="str">
        <f t="shared" ref="S7:S26" ca="1" si="1">IF((N7-TODAY())/7&gt;=0,"En tiempo","Alerta")</f>
        <v>Alerta</v>
      </c>
      <c r="T7" s="787">
        <v>1</v>
      </c>
      <c r="U7" s="444">
        <f t="shared" ref="U7:U38" si="2">IF(T7/H7=1,1,+T7/H7)</f>
        <v>1</v>
      </c>
      <c r="V7" s="444" t="str">
        <f t="shared" ref="V7:V36" si="3">IF(R7&gt;O7,0%,IF(R7&lt;=0,"100%",1-(R7/O7)))</f>
        <v>100%</v>
      </c>
      <c r="W7" s="445" t="str">
        <f t="shared" ref="W7:W38" si="4">IF(Q7&lt;=N7,"Cumple","Incumple")</f>
        <v>Cumple</v>
      </c>
      <c r="X7" s="788" t="s">
        <v>1695</v>
      </c>
      <c r="Y7" s="305" t="s">
        <v>1696</v>
      </c>
      <c r="Z7" s="444">
        <f t="shared" ref="Z7:Z26" si="5">(U7+V7)/2</f>
        <v>1</v>
      </c>
      <c r="AA7" s="446">
        <v>1</v>
      </c>
      <c r="AB7" s="446"/>
      <c r="AC7" s="447">
        <f>AVERAGE(Z7:AB7)</f>
        <v>1</v>
      </c>
      <c r="AD7" s="793" t="s">
        <v>3236</v>
      </c>
    </row>
    <row r="8" spans="1:30" s="226" customFormat="1" ht="252.75" customHeight="1" x14ac:dyDescent="0.2">
      <c r="A8" s="1066"/>
      <c r="B8" s="1066"/>
      <c r="C8" s="1065"/>
      <c r="D8" s="1065"/>
      <c r="E8" s="1065"/>
      <c r="F8" s="559" t="s">
        <v>1697</v>
      </c>
      <c r="G8" s="559" t="s">
        <v>1698</v>
      </c>
      <c r="H8" s="559">
        <v>1</v>
      </c>
      <c r="I8" s="559" t="s">
        <v>1699</v>
      </c>
      <c r="J8" s="559" t="s">
        <v>501</v>
      </c>
      <c r="K8" s="559" t="s">
        <v>61</v>
      </c>
      <c r="L8" s="559" t="s">
        <v>1700</v>
      </c>
      <c r="M8" s="796">
        <v>45405</v>
      </c>
      <c r="N8" s="797">
        <v>45801</v>
      </c>
      <c r="O8" s="785">
        <f t="shared" si="0"/>
        <v>56.571428571428569</v>
      </c>
      <c r="P8" s="786">
        <v>45693</v>
      </c>
      <c r="Q8" s="798">
        <f>P8</f>
        <v>45693</v>
      </c>
      <c r="R8" s="442">
        <f>(Q8-M8)/7-O8</f>
        <v>-15.428571428571423</v>
      </c>
      <c r="S8" s="443" t="str">
        <f t="shared" ca="1" si="1"/>
        <v>En tiempo</v>
      </c>
      <c r="T8" s="787">
        <v>0.5</v>
      </c>
      <c r="U8" s="444">
        <f t="shared" si="2"/>
        <v>0.5</v>
      </c>
      <c r="V8" s="444" t="str">
        <f t="shared" si="3"/>
        <v>100%</v>
      </c>
      <c r="W8" s="445" t="str">
        <f t="shared" si="4"/>
        <v>Cumple</v>
      </c>
      <c r="X8" s="788" t="s">
        <v>3216</v>
      </c>
      <c r="Y8" s="305" t="s">
        <v>3217</v>
      </c>
      <c r="Z8" s="444">
        <f t="shared" si="5"/>
        <v>0.75</v>
      </c>
      <c r="AA8" s="446">
        <v>0.1</v>
      </c>
      <c r="AB8" s="446"/>
      <c r="AC8" s="447"/>
      <c r="AD8" s="793"/>
    </row>
    <row r="9" spans="1:30" s="226" customFormat="1" ht="122.25" customHeight="1" x14ac:dyDescent="0.2">
      <c r="A9" s="1066"/>
      <c r="B9" s="1066"/>
      <c r="C9" s="1065"/>
      <c r="D9" s="1065"/>
      <c r="E9" s="1065"/>
      <c r="F9" s="559" t="s">
        <v>1701</v>
      </c>
      <c r="G9" s="559" t="s">
        <v>1702</v>
      </c>
      <c r="H9" s="559">
        <v>1</v>
      </c>
      <c r="I9" s="559" t="s">
        <v>1693</v>
      </c>
      <c r="J9" s="559" t="s">
        <v>501</v>
      </c>
      <c r="K9" s="559" t="s">
        <v>61</v>
      </c>
      <c r="L9" s="559" t="s">
        <v>1702</v>
      </c>
      <c r="M9" s="796">
        <v>45439</v>
      </c>
      <c r="N9" s="796">
        <v>45991</v>
      </c>
      <c r="O9" s="785">
        <f t="shared" si="0"/>
        <v>78.857142857142861</v>
      </c>
      <c r="P9" s="786">
        <v>45693</v>
      </c>
      <c r="Q9" s="786">
        <f>P9</f>
        <v>45693</v>
      </c>
      <c r="R9" s="442">
        <f t="shared" ref="R9:R37" si="6">(Q9-M9)/7-O9</f>
        <v>-42.571428571428577</v>
      </c>
      <c r="S9" s="443" t="str">
        <f t="shared" ca="1" si="1"/>
        <v>En tiempo</v>
      </c>
      <c r="T9" s="787">
        <v>0</v>
      </c>
      <c r="U9" s="444">
        <f t="shared" si="2"/>
        <v>0</v>
      </c>
      <c r="V9" s="444" t="str">
        <f t="shared" si="3"/>
        <v>100%</v>
      </c>
      <c r="W9" s="445" t="str">
        <f t="shared" si="4"/>
        <v>Cumple</v>
      </c>
      <c r="X9" s="788" t="s">
        <v>1703</v>
      </c>
      <c r="Y9" s="305" t="s">
        <v>1704</v>
      </c>
      <c r="Z9" s="444">
        <f t="shared" si="5"/>
        <v>0.5</v>
      </c>
      <c r="AA9" s="446"/>
      <c r="AB9" s="446"/>
      <c r="AC9" s="447"/>
      <c r="AD9" s="793"/>
    </row>
    <row r="10" spans="1:30" s="226" customFormat="1" ht="124.5" customHeight="1" x14ac:dyDescent="0.2">
      <c r="A10" s="1066"/>
      <c r="B10" s="1066"/>
      <c r="C10" s="1065"/>
      <c r="D10" s="1065"/>
      <c r="E10" s="1065"/>
      <c r="F10" s="559" t="s">
        <v>1705</v>
      </c>
      <c r="G10" s="559" t="s">
        <v>1706</v>
      </c>
      <c r="H10" s="559">
        <v>1</v>
      </c>
      <c r="I10" s="559" t="s">
        <v>1707</v>
      </c>
      <c r="J10" s="559" t="s">
        <v>501</v>
      </c>
      <c r="K10" s="559" t="s">
        <v>61</v>
      </c>
      <c r="L10" s="559" t="s">
        <v>1708</v>
      </c>
      <c r="M10" s="796">
        <v>45456</v>
      </c>
      <c r="N10" s="796">
        <v>45991</v>
      </c>
      <c r="O10" s="785">
        <f t="shared" si="0"/>
        <v>76.428571428571431</v>
      </c>
      <c r="P10" s="786">
        <v>45693</v>
      </c>
      <c r="Q10" s="786">
        <f>P10</f>
        <v>45693</v>
      </c>
      <c r="R10" s="442">
        <f t="shared" si="6"/>
        <v>-42.571428571428577</v>
      </c>
      <c r="S10" s="443" t="str">
        <f t="shared" ca="1" si="1"/>
        <v>En tiempo</v>
      </c>
      <c r="T10" s="787">
        <v>0</v>
      </c>
      <c r="U10" s="444">
        <f t="shared" si="2"/>
        <v>0</v>
      </c>
      <c r="V10" s="444" t="str">
        <f t="shared" si="3"/>
        <v>100%</v>
      </c>
      <c r="W10" s="445" t="str">
        <f t="shared" si="4"/>
        <v>Cumple</v>
      </c>
      <c r="X10" s="788" t="s">
        <v>1709</v>
      </c>
      <c r="Y10" s="305" t="s">
        <v>1710</v>
      </c>
      <c r="Z10" s="444">
        <f t="shared" si="5"/>
        <v>0.5</v>
      </c>
      <c r="AA10" s="446"/>
      <c r="AB10" s="446"/>
      <c r="AC10" s="447"/>
      <c r="AD10" s="793"/>
    </row>
    <row r="11" spans="1:30" s="226" customFormat="1" ht="93.75" customHeight="1" x14ac:dyDescent="0.2">
      <c r="A11" s="1062"/>
      <c r="B11" s="1062"/>
      <c r="C11" s="1065"/>
      <c r="D11" s="1065"/>
      <c r="E11" s="1065"/>
      <c r="F11" s="559" t="s">
        <v>1711</v>
      </c>
      <c r="G11" s="559" t="s">
        <v>1712</v>
      </c>
      <c r="H11" s="559">
        <v>1</v>
      </c>
      <c r="I11" s="559" t="s">
        <v>1713</v>
      </c>
      <c r="J11" s="559" t="s">
        <v>501</v>
      </c>
      <c r="K11" s="559" t="s">
        <v>61</v>
      </c>
      <c r="L11" s="559" t="s">
        <v>1714</v>
      </c>
      <c r="M11" s="796">
        <v>45463</v>
      </c>
      <c r="N11" s="796">
        <v>45991</v>
      </c>
      <c r="O11" s="785">
        <f t="shared" si="0"/>
        <v>75.428571428571431</v>
      </c>
      <c r="P11" s="786">
        <v>45693</v>
      </c>
      <c r="Q11" s="786">
        <f t="shared" ref="Q11:Q17" si="7">P11</f>
        <v>45693</v>
      </c>
      <c r="R11" s="442">
        <f t="shared" si="6"/>
        <v>-42.571428571428577</v>
      </c>
      <c r="S11" s="443" t="str">
        <f t="shared" ca="1" si="1"/>
        <v>En tiempo</v>
      </c>
      <c r="T11" s="787"/>
      <c r="U11" s="444">
        <f t="shared" si="2"/>
        <v>0</v>
      </c>
      <c r="V11" s="444" t="str">
        <f t="shared" si="3"/>
        <v>100%</v>
      </c>
      <c r="W11" s="445" t="str">
        <f t="shared" si="4"/>
        <v>Cumple</v>
      </c>
      <c r="X11" s="788" t="s">
        <v>1703</v>
      </c>
      <c r="Y11" s="305" t="s">
        <v>1569</v>
      </c>
      <c r="Z11" s="444">
        <f t="shared" si="5"/>
        <v>0.5</v>
      </c>
      <c r="AA11" s="446"/>
      <c r="AB11" s="446"/>
      <c r="AC11" s="447"/>
      <c r="AD11" s="793"/>
    </row>
    <row r="12" spans="1:30" s="226" customFormat="1" ht="113.25" customHeight="1" x14ac:dyDescent="0.2">
      <c r="A12" s="1061" t="s">
        <v>202</v>
      </c>
      <c r="B12" s="1061" t="s">
        <v>53</v>
      </c>
      <c r="C12" s="1063" t="s">
        <v>1715</v>
      </c>
      <c r="D12" s="1063" t="s">
        <v>1689</v>
      </c>
      <c r="E12" s="1063" t="s">
        <v>1716</v>
      </c>
      <c r="F12" s="559" t="s">
        <v>1717</v>
      </c>
      <c r="G12" s="559" t="s">
        <v>1718</v>
      </c>
      <c r="H12" s="559">
        <v>1</v>
      </c>
      <c r="I12" s="559" t="s">
        <v>1719</v>
      </c>
      <c r="J12" s="559" t="s">
        <v>501</v>
      </c>
      <c r="K12" s="559" t="s">
        <v>61</v>
      </c>
      <c r="L12" s="559" t="s">
        <v>1720</v>
      </c>
      <c r="M12" s="796">
        <v>45359</v>
      </c>
      <c r="N12" s="796">
        <v>45991</v>
      </c>
      <c r="O12" s="785">
        <f t="shared" si="0"/>
        <v>90.285714285714292</v>
      </c>
      <c r="P12" s="786">
        <v>45693</v>
      </c>
      <c r="Q12" s="786">
        <f t="shared" si="7"/>
        <v>45693</v>
      </c>
      <c r="R12" s="442">
        <f t="shared" si="6"/>
        <v>-42.571428571428577</v>
      </c>
      <c r="S12" s="443" t="str">
        <f t="shared" ca="1" si="1"/>
        <v>En tiempo</v>
      </c>
      <c r="T12" s="787"/>
      <c r="U12" s="444">
        <f t="shared" si="2"/>
        <v>0</v>
      </c>
      <c r="V12" s="444" t="str">
        <f t="shared" si="3"/>
        <v>100%</v>
      </c>
      <c r="W12" s="445" t="str">
        <f t="shared" si="4"/>
        <v>Cumple</v>
      </c>
      <c r="X12" s="788" t="s">
        <v>1709</v>
      </c>
      <c r="Y12" s="305" t="s">
        <v>1678</v>
      </c>
      <c r="Z12" s="444">
        <f t="shared" si="5"/>
        <v>0.5</v>
      </c>
      <c r="AA12" s="446"/>
      <c r="AB12" s="446"/>
      <c r="AC12" s="447"/>
      <c r="AD12" s="793"/>
    </row>
    <row r="13" spans="1:30" s="226" customFormat="1" ht="102" customHeight="1" x14ac:dyDescent="0.2">
      <c r="A13" s="1062"/>
      <c r="B13" s="1062"/>
      <c r="C13" s="1064"/>
      <c r="D13" s="1064"/>
      <c r="E13" s="1064"/>
      <c r="F13" s="559" t="s">
        <v>1721</v>
      </c>
      <c r="G13" s="559" t="s">
        <v>1358</v>
      </c>
      <c r="H13" s="560">
        <v>1</v>
      </c>
      <c r="I13" s="559" t="s">
        <v>1693</v>
      </c>
      <c r="J13" s="559" t="s">
        <v>501</v>
      </c>
      <c r="K13" s="559" t="s">
        <v>61</v>
      </c>
      <c r="L13" s="559" t="s">
        <v>1360</v>
      </c>
      <c r="M13" s="796">
        <v>45670</v>
      </c>
      <c r="N13" s="796">
        <v>45991</v>
      </c>
      <c r="O13" s="785">
        <f t="shared" si="0"/>
        <v>45.857142857142854</v>
      </c>
      <c r="P13" s="786">
        <v>45693</v>
      </c>
      <c r="Q13" s="786">
        <f t="shared" si="7"/>
        <v>45693</v>
      </c>
      <c r="R13" s="442">
        <f t="shared" si="6"/>
        <v>-42.571428571428569</v>
      </c>
      <c r="S13" s="443" t="str">
        <f t="shared" ca="1" si="1"/>
        <v>En tiempo</v>
      </c>
      <c r="T13" s="787"/>
      <c r="U13" s="444">
        <f t="shared" si="2"/>
        <v>0</v>
      </c>
      <c r="V13" s="444" t="str">
        <f t="shared" si="3"/>
        <v>100%</v>
      </c>
      <c r="W13" s="445" t="str">
        <f t="shared" si="4"/>
        <v>Cumple</v>
      </c>
      <c r="X13" s="788" t="s">
        <v>1709</v>
      </c>
      <c r="Y13" s="305" t="s">
        <v>1678</v>
      </c>
      <c r="Z13" s="444">
        <f t="shared" si="5"/>
        <v>0.5</v>
      </c>
      <c r="AA13" s="446"/>
      <c r="AB13" s="446"/>
      <c r="AC13" s="447"/>
      <c r="AD13" s="793"/>
    </row>
    <row r="14" spans="1:30" s="226" customFormat="1" ht="105" customHeight="1" x14ac:dyDescent="0.2">
      <c r="A14" s="561" t="s">
        <v>202</v>
      </c>
      <c r="B14" s="561" t="s">
        <v>53</v>
      </c>
      <c r="C14" s="562" t="s">
        <v>1722</v>
      </c>
      <c r="D14" s="562" t="s">
        <v>1689</v>
      </c>
      <c r="E14" s="562" t="s">
        <v>1723</v>
      </c>
      <c r="F14" s="559" t="s">
        <v>1724</v>
      </c>
      <c r="G14" s="559" t="s">
        <v>1725</v>
      </c>
      <c r="H14" s="560">
        <v>1</v>
      </c>
      <c r="I14" s="559" t="s">
        <v>1693</v>
      </c>
      <c r="J14" s="559" t="s">
        <v>501</v>
      </c>
      <c r="K14" s="559" t="s">
        <v>61</v>
      </c>
      <c r="L14" s="559" t="s">
        <v>1726</v>
      </c>
      <c r="M14" s="796">
        <v>45359</v>
      </c>
      <c r="N14" s="796">
        <v>45991</v>
      </c>
      <c r="O14" s="785">
        <f t="shared" si="0"/>
        <v>90.285714285714292</v>
      </c>
      <c r="P14" s="786">
        <v>45693</v>
      </c>
      <c r="Q14" s="786">
        <f t="shared" si="7"/>
        <v>45693</v>
      </c>
      <c r="R14" s="442">
        <f t="shared" si="6"/>
        <v>-42.571428571428577</v>
      </c>
      <c r="S14" s="443" t="str">
        <f t="shared" ca="1" si="1"/>
        <v>En tiempo</v>
      </c>
      <c r="T14" s="787"/>
      <c r="U14" s="444">
        <f t="shared" si="2"/>
        <v>0</v>
      </c>
      <c r="V14" s="444" t="str">
        <f t="shared" si="3"/>
        <v>100%</v>
      </c>
      <c r="W14" s="445" t="str">
        <f t="shared" si="4"/>
        <v>Cumple</v>
      </c>
      <c r="X14" s="788" t="s">
        <v>1709</v>
      </c>
      <c r="Y14" s="305" t="s">
        <v>1678</v>
      </c>
      <c r="Z14" s="444">
        <f t="shared" si="5"/>
        <v>0.5</v>
      </c>
      <c r="AA14" s="446"/>
      <c r="AB14" s="446"/>
      <c r="AC14" s="447"/>
      <c r="AD14" s="793"/>
    </row>
    <row r="15" spans="1:30" s="226" customFormat="1" ht="90" customHeight="1" x14ac:dyDescent="0.2">
      <c r="A15" s="1061" t="s">
        <v>202</v>
      </c>
      <c r="B15" s="1061" t="s">
        <v>53</v>
      </c>
      <c r="C15" s="1063" t="s">
        <v>1727</v>
      </c>
      <c r="D15" s="1063" t="s">
        <v>1689</v>
      </c>
      <c r="E15" s="1063" t="s">
        <v>1728</v>
      </c>
      <c r="F15" s="559" t="s">
        <v>1729</v>
      </c>
      <c r="G15" s="559" t="s">
        <v>1730</v>
      </c>
      <c r="H15" s="560">
        <v>1</v>
      </c>
      <c r="I15" s="559" t="s">
        <v>1693</v>
      </c>
      <c r="J15" s="559" t="s">
        <v>501</v>
      </c>
      <c r="K15" s="559" t="s">
        <v>61</v>
      </c>
      <c r="L15" s="559" t="s">
        <v>1731</v>
      </c>
      <c r="M15" s="796">
        <v>45505</v>
      </c>
      <c r="N15" s="796">
        <v>45991</v>
      </c>
      <c r="O15" s="785">
        <f t="shared" si="0"/>
        <v>69.428571428571431</v>
      </c>
      <c r="P15" s="786">
        <v>45693</v>
      </c>
      <c r="Q15" s="786">
        <f t="shared" si="7"/>
        <v>45693</v>
      </c>
      <c r="R15" s="442">
        <f t="shared" si="6"/>
        <v>-42.571428571428569</v>
      </c>
      <c r="S15" s="443" t="str">
        <f t="shared" ca="1" si="1"/>
        <v>En tiempo</v>
      </c>
      <c r="T15" s="787"/>
      <c r="U15" s="444">
        <f t="shared" si="2"/>
        <v>0</v>
      </c>
      <c r="V15" s="444" t="str">
        <f t="shared" si="3"/>
        <v>100%</v>
      </c>
      <c r="W15" s="445" t="str">
        <f t="shared" si="4"/>
        <v>Cumple</v>
      </c>
      <c r="X15" s="788" t="s">
        <v>1709</v>
      </c>
      <c r="Y15" s="305" t="s">
        <v>1732</v>
      </c>
      <c r="Z15" s="444">
        <f t="shared" si="5"/>
        <v>0.5</v>
      </c>
      <c r="AA15" s="446"/>
      <c r="AB15" s="446"/>
      <c r="AC15" s="447"/>
      <c r="AD15" s="793"/>
    </row>
    <row r="16" spans="1:30" s="226" customFormat="1" ht="111.75" customHeight="1" x14ac:dyDescent="0.2">
      <c r="A16" s="1066"/>
      <c r="B16" s="1066"/>
      <c r="C16" s="1065"/>
      <c r="D16" s="1065"/>
      <c r="E16" s="1065"/>
      <c r="F16" s="559" t="s">
        <v>1733</v>
      </c>
      <c r="G16" s="559" t="s">
        <v>1734</v>
      </c>
      <c r="H16" s="559">
        <v>1</v>
      </c>
      <c r="I16" s="559" t="s">
        <v>1588</v>
      </c>
      <c r="J16" s="559" t="s">
        <v>501</v>
      </c>
      <c r="K16" s="559" t="s">
        <v>61</v>
      </c>
      <c r="L16" s="559" t="s">
        <v>1735</v>
      </c>
      <c r="M16" s="796">
        <v>45536</v>
      </c>
      <c r="N16" s="796">
        <v>45991</v>
      </c>
      <c r="O16" s="785">
        <f t="shared" si="0"/>
        <v>65</v>
      </c>
      <c r="P16" s="786">
        <v>45693</v>
      </c>
      <c r="Q16" s="786">
        <f t="shared" si="7"/>
        <v>45693</v>
      </c>
      <c r="R16" s="442">
        <f t="shared" si="6"/>
        <v>-42.571428571428569</v>
      </c>
      <c r="S16" s="443" t="str">
        <f t="shared" ca="1" si="1"/>
        <v>En tiempo</v>
      </c>
      <c r="T16" s="787"/>
      <c r="U16" s="444">
        <f t="shared" si="2"/>
        <v>0</v>
      </c>
      <c r="V16" s="444" t="str">
        <f t="shared" si="3"/>
        <v>100%</v>
      </c>
      <c r="W16" s="445" t="str">
        <f t="shared" si="4"/>
        <v>Cumple</v>
      </c>
      <c r="X16" s="788" t="s">
        <v>1736</v>
      </c>
      <c r="Y16" s="305" t="s">
        <v>3218</v>
      </c>
      <c r="Z16" s="444">
        <f t="shared" si="5"/>
        <v>0.5</v>
      </c>
      <c r="AA16" s="446"/>
      <c r="AB16" s="446"/>
      <c r="AC16" s="447"/>
      <c r="AD16" s="793"/>
    </row>
    <row r="17" spans="1:30" s="226" customFormat="1" ht="130.5" customHeight="1" x14ac:dyDescent="0.2">
      <c r="A17" s="1062"/>
      <c r="B17" s="1062"/>
      <c r="C17" s="1064"/>
      <c r="D17" s="1064"/>
      <c r="E17" s="1064"/>
      <c r="F17" s="559" t="s">
        <v>1737</v>
      </c>
      <c r="G17" s="559" t="s">
        <v>1738</v>
      </c>
      <c r="H17" s="560">
        <v>1</v>
      </c>
      <c r="I17" s="559" t="s">
        <v>1588</v>
      </c>
      <c r="J17" s="559" t="s">
        <v>501</v>
      </c>
      <c r="K17" s="559" t="s">
        <v>61</v>
      </c>
      <c r="L17" s="559" t="s">
        <v>1739</v>
      </c>
      <c r="M17" s="796">
        <v>45671</v>
      </c>
      <c r="N17" s="796">
        <v>45991</v>
      </c>
      <c r="O17" s="785">
        <f t="shared" si="0"/>
        <v>45.714285714285715</v>
      </c>
      <c r="P17" s="786">
        <v>45693</v>
      </c>
      <c r="Q17" s="786">
        <f t="shared" si="7"/>
        <v>45693</v>
      </c>
      <c r="R17" s="442">
        <f t="shared" si="6"/>
        <v>-42.571428571428569</v>
      </c>
      <c r="S17" s="443" t="str">
        <f t="shared" ca="1" si="1"/>
        <v>En tiempo</v>
      </c>
      <c r="T17" s="787"/>
      <c r="U17" s="444">
        <f t="shared" si="2"/>
        <v>0</v>
      </c>
      <c r="V17" s="444" t="str">
        <f t="shared" si="3"/>
        <v>100%</v>
      </c>
      <c r="W17" s="445" t="str">
        <f t="shared" si="4"/>
        <v>Cumple</v>
      </c>
      <c r="X17" s="788" t="s">
        <v>1736</v>
      </c>
      <c r="Y17" s="305" t="s">
        <v>1678</v>
      </c>
      <c r="Z17" s="444">
        <f t="shared" si="5"/>
        <v>0.5</v>
      </c>
      <c r="AA17" s="446"/>
      <c r="AB17" s="446"/>
      <c r="AC17" s="447"/>
      <c r="AD17" s="793"/>
    </row>
    <row r="18" spans="1:30" s="226" customFormat="1" ht="150" x14ac:dyDescent="0.2">
      <c r="A18" s="561" t="s">
        <v>202</v>
      </c>
      <c r="B18" s="561" t="s">
        <v>53</v>
      </c>
      <c r="C18" s="562" t="s">
        <v>1740</v>
      </c>
      <c r="D18" s="562" t="s">
        <v>1741</v>
      </c>
      <c r="E18" s="562" t="s">
        <v>1742</v>
      </c>
      <c r="F18" s="559" t="s">
        <v>1743</v>
      </c>
      <c r="G18" s="559" t="s">
        <v>1744</v>
      </c>
      <c r="H18" s="559">
        <v>1</v>
      </c>
      <c r="I18" s="559" t="s">
        <v>1745</v>
      </c>
      <c r="J18" s="559" t="s">
        <v>501</v>
      </c>
      <c r="K18" s="559" t="s">
        <v>61</v>
      </c>
      <c r="L18" s="559" t="s">
        <v>1746</v>
      </c>
      <c r="M18" s="796">
        <v>45359</v>
      </c>
      <c r="N18" s="796">
        <v>45723</v>
      </c>
      <c r="O18" s="785">
        <f t="shared" si="0"/>
        <v>52</v>
      </c>
      <c r="P18" s="786">
        <v>45693</v>
      </c>
      <c r="Q18" s="786">
        <v>45693</v>
      </c>
      <c r="R18" s="442">
        <f>(Q18-M18)/7-O18</f>
        <v>-4.2857142857142847</v>
      </c>
      <c r="S18" s="443" t="str">
        <f t="shared" ca="1" si="1"/>
        <v>Alerta</v>
      </c>
      <c r="T18" s="787">
        <v>1</v>
      </c>
      <c r="U18" s="444">
        <f t="shared" si="2"/>
        <v>1</v>
      </c>
      <c r="V18" s="444" t="str">
        <f t="shared" si="3"/>
        <v>100%</v>
      </c>
      <c r="W18" s="445" t="str">
        <f t="shared" si="4"/>
        <v>Cumple</v>
      </c>
      <c r="X18" s="788" t="s">
        <v>1747</v>
      </c>
      <c r="Y18" s="305" t="s">
        <v>1748</v>
      </c>
      <c r="Z18" s="444">
        <v>1</v>
      </c>
      <c r="AA18" s="446">
        <v>1</v>
      </c>
      <c r="AB18" s="446">
        <v>1</v>
      </c>
      <c r="AC18" s="447">
        <f t="shared" ref="AC18:AC25" si="8">AVERAGE(Z18:AB18)</f>
        <v>1</v>
      </c>
      <c r="AD18" s="793" t="s">
        <v>3237</v>
      </c>
    </row>
    <row r="19" spans="1:30" s="226" customFormat="1" ht="120" customHeight="1" x14ac:dyDescent="0.2">
      <c r="A19" s="1061" t="s">
        <v>202</v>
      </c>
      <c r="B19" s="1061" t="s">
        <v>53</v>
      </c>
      <c r="C19" s="1063" t="s">
        <v>1749</v>
      </c>
      <c r="D19" s="1063" t="s">
        <v>1750</v>
      </c>
      <c r="E19" s="1063" t="s">
        <v>1751</v>
      </c>
      <c r="F19" s="559" t="s">
        <v>1752</v>
      </c>
      <c r="G19" s="559" t="s">
        <v>1753</v>
      </c>
      <c r="H19" s="559">
        <v>1</v>
      </c>
      <c r="I19" s="559" t="s">
        <v>1754</v>
      </c>
      <c r="J19" s="559" t="s">
        <v>501</v>
      </c>
      <c r="K19" s="559" t="s">
        <v>61</v>
      </c>
      <c r="L19" s="559" t="s">
        <v>1755</v>
      </c>
      <c r="M19" s="796">
        <v>45359</v>
      </c>
      <c r="N19" s="796">
        <v>45828</v>
      </c>
      <c r="O19" s="785">
        <f t="shared" si="0"/>
        <v>67</v>
      </c>
      <c r="P19" s="786">
        <v>45693</v>
      </c>
      <c r="Q19" s="786">
        <v>45693</v>
      </c>
      <c r="R19" s="442">
        <f t="shared" si="6"/>
        <v>-19.285714285714285</v>
      </c>
      <c r="S19" s="443" t="str">
        <f t="shared" ca="1" si="1"/>
        <v>En tiempo</v>
      </c>
      <c r="T19" s="787">
        <v>1</v>
      </c>
      <c r="U19" s="444">
        <f t="shared" si="2"/>
        <v>1</v>
      </c>
      <c r="V19" s="444" t="str">
        <f t="shared" si="3"/>
        <v>100%</v>
      </c>
      <c r="W19" s="445" t="str">
        <f t="shared" si="4"/>
        <v>Cumple</v>
      </c>
      <c r="X19" s="788" t="s">
        <v>1756</v>
      </c>
      <c r="Y19" s="305" t="s">
        <v>1757</v>
      </c>
      <c r="Z19" s="444">
        <f t="shared" si="5"/>
        <v>1</v>
      </c>
      <c r="AA19" s="446">
        <v>1</v>
      </c>
      <c r="AB19" s="446">
        <v>1</v>
      </c>
      <c r="AC19" s="447">
        <f t="shared" si="8"/>
        <v>1</v>
      </c>
      <c r="AD19" s="793" t="s">
        <v>3238</v>
      </c>
    </row>
    <row r="20" spans="1:30" s="226" customFormat="1" ht="117.75" customHeight="1" x14ac:dyDescent="0.2">
      <c r="A20" s="1062"/>
      <c r="B20" s="1062"/>
      <c r="C20" s="1064"/>
      <c r="D20" s="1064"/>
      <c r="E20" s="1064"/>
      <c r="F20" s="559" t="s">
        <v>1758</v>
      </c>
      <c r="G20" s="559" t="s">
        <v>1759</v>
      </c>
      <c r="H20" s="560">
        <v>1</v>
      </c>
      <c r="I20" s="559" t="s">
        <v>1760</v>
      </c>
      <c r="J20" s="559" t="s">
        <v>501</v>
      </c>
      <c r="K20" s="559" t="s">
        <v>61</v>
      </c>
      <c r="L20" s="559" t="s">
        <v>1761</v>
      </c>
      <c r="M20" s="796">
        <v>45359</v>
      </c>
      <c r="N20" s="797">
        <v>45723</v>
      </c>
      <c r="O20" s="785">
        <f t="shared" si="0"/>
        <v>52</v>
      </c>
      <c r="P20" s="786">
        <v>45693</v>
      </c>
      <c r="Q20" s="798">
        <f>P20</f>
        <v>45693</v>
      </c>
      <c r="R20" s="442">
        <f t="shared" si="6"/>
        <v>-4.2857142857142847</v>
      </c>
      <c r="S20" s="443" t="str">
        <f t="shared" ca="1" si="1"/>
        <v>Alerta</v>
      </c>
      <c r="T20" s="787">
        <v>0.5</v>
      </c>
      <c r="U20" s="444">
        <f t="shared" si="2"/>
        <v>0.5</v>
      </c>
      <c r="V20" s="444" t="str">
        <f t="shared" si="3"/>
        <v>100%</v>
      </c>
      <c r="W20" s="445" t="str">
        <f t="shared" si="4"/>
        <v>Cumple</v>
      </c>
      <c r="X20" s="799" t="s">
        <v>1762</v>
      </c>
      <c r="Y20" s="305" t="s">
        <v>3219</v>
      </c>
      <c r="Z20" s="444">
        <f t="shared" si="5"/>
        <v>0.75</v>
      </c>
      <c r="AA20" s="446"/>
      <c r="AB20" s="446"/>
      <c r="AC20" s="447"/>
      <c r="AD20" s="793"/>
    </row>
    <row r="21" spans="1:30" s="226" customFormat="1" ht="60" customHeight="1" x14ac:dyDescent="0.2">
      <c r="A21" s="1061" t="s">
        <v>202</v>
      </c>
      <c r="B21" s="1061" t="s">
        <v>53</v>
      </c>
      <c r="C21" s="1063" t="s">
        <v>1763</v>
      </c>
      <c r="D21" s="1063" t="s">
        <v>1764</v>
      </c>
      <c r="E21" s="1063" t="s">
        <v>1765</v>
      </c>
      <c r="F21" s="559" t="s">
        <v>1766</v>
      </c>
      <c r="G21" s="559" t="s">
        <v>1767</v>
      </c>
      <c r="H21" s="559">
        <v>1</v>
      </c>
      <c r="I21" s="559" t="s">
        <v>1745</v>
      </c>
      <c r="J21" s="559" t="s">
        <v>501</v>
      </c>
      <c r="K21" s="559" t="s">
        <v>61</v>
      </c>
      <c r="L21" s="559" t="s">
        <v>1768</v>
      </c>
      <c r="M21" s="796">
        <v>45359</v>
      </c>
      <c r="N21" s="796">
        <v>45828</v>
      </c>
      <c r="O21" s="785">
        <f t="shared" si="0"/>
        <v>67</v>
      </c>
      <c r="P21" s="786">
        <v>45693</v>
      </c>
      <c r="Q21" s="786">
        <f t="shared" ref="Q21:Q22" si="9">P21</f>
        <v>45693</v>
      </c>
      <c r="R21" s="442">
        <f t="shared" si="6"/>
        <v>-19.285714285714285</v>
      </c>
      <c r="S21" s="443" t="str">
        <f t="shared" ca="1" si="1"/>
        <v>En tiempo</v>
      </c>
      <c r="T21" s="787"/>
      <c r="U21" s="444">
        <f t="shared" si="2"/>
        <v>0</v>
      </c>
      <c r="V21" s="444" t="str">
        <f t="shared" si="3"/>
        <v>100%</v>
      </c>
      <c r="W21" s="445" t="str">
        <f t="shared" si="4"/>
        <v>Cumple</v>
      </c>
      <c r="X21" s="59" t="s">
        <v>1769</v>
      </c>
      <c r="Y21" s="305" t="s">
        <v>3220</v>
      </c>
      <c r="Z21" s="444">
        <f t="shared" si="5"/>
        <v>0.5</v>
      </c>
      <c r="AA21" s="446"/>
      <c r="AB21" s="446"/>
      <c r="AC21" s="447"/>
      <c r="AD21" s="793"/>
    </row>
    <row r="22" spans="1:30" s="226" customFormat="1" ht="79.5" customHeight="1" x14ac:dyDescent="0.2">
      <c r="A22" s="1062"/>
      <c r="B22" s="1062"/>
      <c r="C22" s="1064"/>
      <c r="D22" s="1064"/>
      <c r="E22" s="1064"/>
      <c r="F22" s="559" t="s">
        <v>1770</v>
      </c>
      <c r="G22" s="559" t="s">
        <v>1771</v>
      </c>
      <c r="H22" s="560">
        <v>1</v>
      </c>
      <c r="I22" s="559" t="s">
        <v>1745</v>
      </c>
      <c r="J22" s="559" t="s">
        <v>501</v>
      </c>
      <c r="K22" s="559" t="s">
        <v>61</v>
      </c>
      <c r="L22" s="559" t="s">
        <v>1772</v>
      </c>
      <c r="M22" s="796">
        <v>45359</v>
      </c>
      <c r="N22" s="796">
        <v>45828</v>
      </c>
      <c r="O22" s="785">
        <f t="shared" si="0"/>
        <v>67</v>
      </c>
      <c r="P22" s="786">
        <v>45693</v>
      </c>
      <c r="Q22" s="786">
        <f t="shared" si="9"/>
        <v>45693</v>
      </c>
      <c r="R22" s="442">
        <f t="shared" si="6"/>
        <v>-19.285714285714285</v>
      </c>
      <c r="S22" s="443" t="str">
        <f t="shared" ca="1" si="1"/>
        <v>En tiempo</v>
      </c>
      <c r="T22" s="787"/>
      <c r="U22" s="444">
        <f t="shared" si="2"/>
        <v>0</v>
      </c>
      <c r="V22" s="444" t="str">
        <f t="shared" si="3"/>
        <v>100%</v>
      </c>
      <c r="W22" s="445" t="str">
        <f t="shared" si="4"/>
        <v>Cumple</v>
      </c>
      <c r="X22" s="59" t="s">
        <v>1769</v>
      </c>
      <c r="Y22" s="305" t="s">
        <v>3220</v>
      </c>
      <c r="Z22" s="444">
        <f t="shared" si="5"/>
        <v>0.5</v>
      </c>
      <c r="AA22" s="446"/>
      <c r="AB22" s="446"/>
      <c r="AC22" s="447"/>
      <c r="AD22" s="793"/>
    </row>
    <row r="23" spans="1:30" s="226" customFormat="1" ht="195" customHeight="1" x14ac:dyDescent="0.2">
      <c r="A23" s="1061" t="s">
        <v>202</v>
      </c>
      <c r="B23" s="1061" t="s">
        <v>53</v>
      </c>
      <c r="C23" s="1063" t="s">
        <v>1773</v>
      </c>
      <c r="D23" s="1063" t="s">
        <v>1774</v>
      </c>
      <c r="E23" s="1063" t="s">
        <v>1775</v>
      </c>
      <c r="F23" s="559" t="s">
        <v>1776</v>
      </c>
      <c r="G23" s="559" t="s">
        <v>1777</v>
      </c>
      <c r="H23" s="559">
        <v>1</v>
      </c>
      <c r="I23" s="559" t="s">
        <v>1693</v>
      </c>
      <c r="J23" s="559" t="s">
        <v>501</v>
      </c>
      <c r="K23" s="559" t="s">
        <v>61</v>
      </c>
      <c r="L23" s="559" t="s">
        <v>1777</v>
      </c>
      <c r="M23" s="796">
        <v>45359</v>
      </c>
      <c r="N23" s="797">
        <v>45463</v>
      </c>
      <c r="O23" s="785">
        <f t="shared" si="0"/>
        <v>14.857142857142858</v>
      </c>
      <c r="P23" s="786">
        <v>45693</v>
      </c>
      <c r="Q23" s="786">
        <f>P23</f>
        <v>45693</v>
      </c>
      <c r="R23" s="442">
        <f t="shared" si="6"/>
        <v>32.857142857142861</v>
      </c>
      <c r="S23" s="443" t="str">
        <f t="shared" ca="1" si="1"/>
        <v>Alerta</v>
      </c>
      <c r="T23" s="787">
        <v>0.4</v>
      </c>
      <c r="U23" s="444">
        <f t="shared" si="2"/>
        <v>0.4</v>
      </c>
      <c r="V23" s="444">
        <f t="shared" si="3"/>
        <v>0</v>
      </c>
      <c r="W23" s="445" t="str">
        <f t="shared" si="4"/>
        <v>Incumple</v>
      </c>
      <c r="X23" s="788" t="s">
        <v>1778</v>
      </c>
      <c r="Y23" s="305" t="s">
        <v>3221</v>
      </c>
      <c r="Z23" s="444">
        <f t="shared" si="5"/>
        <v>0.2</v>
      </c>
      <c r="AA23" s="446"/>
      <c r="AB23" s="446"/>
      <c r="AC23" s="447"/>
      <c r="AD23" s="806"/>
    </row>
    <row r="24" spans="1:30" s="226" customFormat="1" ht="114" customHeight="1" x14ac:dyDescent="0.2">
      <c r="A24" s="1062"/>
      <c r="B24" s="1062"/>
      <c r="C24" s="1064"/>
      <c r="D24" s="1064"/>
      <c r="E24" s="1064"/>
      <c r="F24" s="559" t="s">
        <v>1779</v>
      </c>
      <c r="G24" s="559" t="s">
        <v>1780</v>
      </c>
      <c r="H24" s="560">
        <v>1</v>
      </c>
      <c r="I24" s="559" t="s">
        <v>1781</v>
      </c>
      <c r="J24" s="559" t="s">
        <v>501</v>
      </c>
      <c r="K24" s="559" t="s">
        <v>61</v>
      </c>
      <c r="L24" s="559" t="s">
        <v>1360</v>
      </c>
      <c r="M24" s="796">
        <v>45488</v>
      </c>
      <c r="N24" s="797">
        <v>45723</v>
      </c>
      <c r="O24" s="785">
        <f t="shared" si="0"/>
        <v>33.571428571428569</v>
      </c>
      <c r="P24" s="786">
        <v>45693</v>
      </c>
      <c r="Q24" s="786">
        <f>P24</f>
        <v>45693</v>
      </c>
      <c r="R24" s="442">
        <f t="shared" si="6"/>
        <v>-4.2857142857142847</v>
      </c>
      <c r="S24" s="443" t="str">
        <f t="shared" ca="1" si="1"/>
        <v>Alerta</v>
      </c>
      <c r="T24" s="787">
        <v>0.5</v>
      </c>
      <c r="U24" s="444">
        <f t="shared" si="2"/>
        <v>0.5</v>
      </c>
      <c r="V24" s="444" t="str">
        <f t="shared" si="3"/>
        <v>100%</v>
      </c>
      <c r="W24" s="445" t="str">
        <f t="shared" si="4"/>
        <v>Cumple</v>
      </c>
      <c r="X24" s="69" t="s">
        <v>1782</v>
      </c>
      <c r="Y24" s="305" t="s">
        <v>3222</v>
      </c>
      <c r="Z24" s="444">
        <f t="shared" si="5"/>
        <v>0.75</v>
      </c>
      <c r="AA24" s="446"/>
      <c r="AB24" s="446"/>
      <c r="AC24" s="447"/>
      <c r="AD24" s="793"/>
    </row>
    <row r="25" spans="1:30" s="226" customFormat="1" ht="144" customHeight="1" x14ac:dyDescent="0.2">
      <c r="A25" s="1061" t="s">
        <v>202</v>
      </c>
      <c r="B25" s="1061" t="s">
        <v>53</v>
      </c>
      <c r="C25" s="1063" t="s">
        <v>1783</v>
      </c>
      <c r="D25" s="1063" t="s">
        <v>1784</v>
      </c>
      <c r="E25" s="1063" t="s">
        <v>1785</v>
      </c>
      <c r="F25" s="559" t="s">
        <v>1786</v>
      </c>
      <c r="G25" s="559" t="s">
        <v>1787</v>
      </c>
      <c r="H25" s="560">
        <v>1</v>
      </c>
      <c r="I25" s="559" t="s">
        <v>1781</v>
      </c>
      <c r="J25" s="559" t="s">
        <v>501</v>
      </c>
      <c r="K25" s="559" t="s">
        <v>61</v>
      </c>
      <c r="L25" s="559" t="s">
        <v>1788</v>
      </c>
      <c r="M25" s="796">
        <v>45359</v>
      </c>
      <c r="N25" s="797">
        <v>45747</v>
      </c>
      <c r="O25" s="785">
        <f t="shared" si="0"/>
        <v>55.428571428571431</v>
      </c>
      <c r="P25" s="786">
        <v>45483</v>
      </c>
      <c r="Q25" s="786">
        <v>45462</v>
      </c>
      <c r="R25" s="442">
        <f t="shared" si="6"/>
        <v>-40.714285714285715</v>
      </c>
      <c r="S25" s="443" t="str">
        <f t="shared" ca="1" si="1"/>
        <v>Alerta</v>
      </c>
      <c r="T25" s="787">
        <v>1</v>
      </c>
      <c r="U25" s="444">
        <f t="shared" si="2"/>
        <v>1</v>
      </c>
      <c r="V25" s="444" t="str">
        <f t="shared" si="3"/>
        <v>100%</v>
      </c>
      <c r="W25" s="445" t="str">
        <f t="shared" si="4"/>
        <v>Cumple</v>
      </c>
      <c r="X25" s="788" t="s">
        <v>1789</v>
      </c>
      <c r="Y25" s="305" t="s">
        <v>1790</v>
      </c>
      <c r="Z25" s="444">
        <f t="shared" si="5"/>
        <v>1</v>
      </c>
      <c r="AA25" s="446">
        <v>1</v>
      </c>
      <c r="AB25" s="446"/>
      <c r="AC25" s="447">
        <f t="shared" si="8"/>
        <v>1</v>
      </c>
      <c r="AD25" s="793" t="s">
        <v>3239</v>
      </c>
    </row>
    <row r="26" spans="1:30" s="226" customFormat="1" ht="65.25" customHeight="1" x14ac:dyDescent="0.2">
      <c r="A26" s="1062"/>
      <c r="B26" s="1062"/>
      <c r="C26" s="1064"/>
      <c r="D26" s="1064"/>
      <c r="E26" s="1064"/>
      <c r="F26" s="559" t="s">
        <v>1791</v>
      </c>
      <c r="G26" s="559" t="s">
        <v>1792</v>
      </c>
      <c r="H26" s="560">
        <v>1</v>
      </c>
      <c r="I26" s="559" t="s">
        <v>1588</v>
      </c>
      <c r="J26" s="559" t="s">
        <v>501</v>
      </c>
      <c r="K26" s="559" t="s">
        <v>61</v>
      </c>
      <c r="L26" s="559" t="s">
        <v>1793</v>
      </c>
      <c r="M26" s="796">
        <v>45359</v>
      </c>
      <c r="N26" s="796">
        <v>45960</v>
      </c>
      <c r="O26" s="785">
        <f t="shared" si="0"/>
        <v>85.857142857142861</v>
      </c>
      <c r="P26" s="786">
        <v>45693</v>
      </c>
      <c r="Q26" s="786">
        <f>P26</f>
        <v>45693</v>
      </c>
      <c r="R26" s="442">
        <f t="shared" si="6"/>
        <v>-38.142857142857146</v>
      </c>
      <c r="S26" s="443" t="str">
        <f t="shared" ca="1" si="1"/>
        <v>En tiempo</v>
      </c>
      <c r="T26" s="787"/>
      <c r="U26" s="444">
        <f t="shared" si="2"/>
        <v>0</v>
      </c>
      <c r="V26" s="444" t="str">
        <f t="shared" si="3"/>
        <v>100%</v>
      </c>
      <c r="W26" s="445" t="str">
        <f t="shared" si="4"/>
        <v>Cumple</v>
      </c>
      <c r="X26" s="69" t="s">
        <v>1794</v>
      </c>
      <c r="Y26" s="305" t="s">
        <v>3220</v>
      </c>
      <c r="Z26" s="444">
        <f t="shared" si="5"/>
        <v>0.5</v>
      </c>
      <c r="AA26" s="446"/>
      <c r="AB26" s="446"/>
      <c r="AC26" s="447"/>
      <c r="AD26" s="59"/>
    </row>
    <row r="27" spans="1:30" s="226" customFormat="1" ht="214.5" customHeight="1" x14ac:dyDescent="0.2">
      <c r="A27" s="561" t="s">
        <v>202</v>
      </c>
      <c r="B27" s="561" t="s">
        <v>53</v>
      </c>
      <c r="C27" s="563" t="s">
        <v>1795</v>
      </c>
      <c r="D27" s="562" t="s">
        <v>1796</v>
      </c>
      <c r="E27" s="562" t="s">
        <v>1797</v>
      </c>
      <c r="F27" s="559" t="s">
        <v>1798</v>
      </c>
      <c r="G27" s="559" t="s">
        <v>1799</v>
      </c>
      <c r="H27" s="560">
        <v>1</v>
      </c>
      <c r="I27" s="559" t="s">
        <v>1781</v>
      </c>
      <c r="J27" s="559" t="s">
        <v>501</v>
      </c>
      <c r="K27" s="559" t="s">
        <v>61</v>
      </c>
      <c r="L27" s="559" t="s">
        <v>1800</v>
      </c>
      <c r="M27" s="796">
        <v>45359</v>
      </c>
      <c r="N27" s="796">
        <v>45746</v>
      </c>
      <c r="O27" s="785">
        <f t="shared" ref="O27:O38" si="10">(N27-M27)/7</f>
        <v>55.285714285714285</v>
      </c>
      <c r="P27" s="786">
        <v>45693</v>
      </c>
      <c r="Q27" s="786">
        <f>P27</f>
        <v>45693</v>
      </c>
      <c r="R27" s="442">
        <f t="shared" si="6"/>
        <v>-7.5714285714285694</v>
      </c>
      <c r="S27" s="443" t="str">
        <f t="shared" ref="S27:S38" ca="1" si="11">IF((N27-TODAY())/7&gt;=0,"En tiempo","Alerta")</f>
        <v>Alerta</v>
      </c>
      <c r="T27" s="787">
        <v>0.9</v>
      </c>
      <c r="U27" s="444">
        <f t="shared" si="2"/>
        <v>0.9</v>
      </c>
      <c r="V27" s="444" t="str">
        <f t="shared" si="3"/>
        <v>100%</v>
      </c>
      <c r="W27" s="445" t="str">
        <f t="shared" si="4"/>
        <v>Cumple</v>
      </c>
      <c r="X27" s="788" t="s">
        <v>3223</v>
      </c>
      <c r="Y27" s="305" t="s">
        <v>3224</v>
      </c>
      <c r="Z27" s="444">
        <f t="shared" ref="Z27:Z38" si="12">(U27+V27)/2</f>
        <v>0.95</v>
      </c>
      <c r="AA27" s="446">
        <v>0</v>
      </c>
      <c r="AB27" s="446">
        <v>0</v>
      </c>
      <c r="AC27" s="447">
        <f>AVERAGE(Z27:AB27)</f>
        <v>0.31666666666666665</v>
      </c>
      <c r="AD27" s="793" t="s">
        <v>3240</v>
      </c>
    </row>
    <row r="28" spans="1:30" s="226" customFormat="1" ht="396" customHeight="1" x14ac:dyDescent="0.2">
      <c r="A28" s="1061" t="s">
        <v>202</v>
      </c>
      <c r="B28" s="1061" t="s">
        <v>53</v>
      </c>
      <c r="C28" s="1080" t="s">
        <v>1801</v>
      </c>
      <c r="D28" s="1080" t="s">
        <v>1802</v>
      </c>
      <c r="E28" s="1063" t="s">
        <v>1803</v>
      </c>
      <c r="F28" s="559" t="s">
        <v>1804</v>
      </c>
      <c r="G28" s="559" t="s">
        <v>1805</v>
      </c>
      <c r="H28" s="560">
        <v>1</v>
      </c>
      <c r="I28" s="559" t="s">
        <v>1806</v>
      </c>
      <c r="J28" s="559" t="s">
        <v>501</v>
      </c>
      <c r="K28" s="559" t="s">
        <v>61</v>
      </c>
      <c r="L28" s="559" t="s">
        <v>1807</v>
      </c>
      <c r="M28" s="796">
        <v>45359</v>
      </c>
      <c r="N28" s="797">
        <v>45787</v>
      </c>
      <c r="O28" s="785">
        <f t="shared" si="10"/>
        <v>61.142857142857146</v>
      </c>
      <c r="P28" s="798">
        <v>45693</v>
      </c>
      <c r="Q28" s="798">
        <f>P28</f>
        <v>45693</v>
      </c>
      <c r="R28" s="442">
        <f t="shared" si="6"/>
        <v>-13.428571428571431</v>
      </c>
      <c r="S28" s="443" t="str">
        <f t="shared" ca="1" si="11"/>
        <v>En tiempo</v>
      </c>
      <c r="T28" s="787">
        <v>0.9</v>
      </c>
      <c r="U28" s="444">
        <f t="shared" si="2"/>
        <v>0.9</v>
      </c>
      <c r="V28" s="444" t="str">
        <f t="shared" si="3"/>
        <v>100%</v>
      </c>
      <c r="W28" s="445" t="str">
        <f t="shared" si="4"/>
        <v>Cumple</v>
      </c>
      <c r="X28" s="789" t="s">
        <v>1808</v>
      </c>
      <c r="Y28" s="790" t="s">
        <v>3225</v>
      </c>
      <c r="Z28" s="444">
        <f t="shared" si="12"/>
        <v>0.95</v>
      </c>
      <c r="AA28" s="446">
        <v>0.7</v>
      </c>
      <c r="AB28" s="446">
        <v>0.7</v>
      </c>
      <c r="AC28" s="447">
        <f>AVERAGE(Z28:AB28)</f>
        <v>0.78333333333333321</v>
      </c>
      <c r="AD28" s="793" t="s">
        <v>3241</v>
      </c>
    </row>
    <row r="29" spans="1:30" s="226" customFormat="1" ht="266.25" customHeight="1" x14ac:dyDescent="0.2">
      <c r="A29" s="1062"/>
      <c r="B29" s="1062"/>
      <c r="C29" s="1081"/>
      <c r="D29" s="1082"/>
      <c r="E29" s="1065"/>
      <c r="F29" s="559" t="s">
        <v>1809</v>
      </c>
      <c r="G29" s="559" t="s">
        <v>1810</v>
      </c>
      <c r="H29" s="559">
        <v>1</v>
      </c>
      <c r="I29" s="559" t="s">
        <v>1811</v>
      </c>
      <c r="J29" s="559" t="s">
        <v>501</v>
      </c>
      <c r="K29" s="559" t="s">
        <v>61</v>
      </c>
      <c r="L29" s="559" t="s">
        <v>1812</v>
      </c>
      <c r="M29" s="796">
        <v>45426</v>
      </c>
      <c r="N29" s="796">
        <v>45463</v>
      </c>
      <c r="O29" s="785">
        <f t="shared" si="10"/>
        <v>5.2857142857142856</v>
      </c>
      <c r="P29" s="786">
        <v>45693</v>
      </c>
      <c r="Q29" s="786">
        <v>45462</v>
      </c>
      <c r="R29" s="442">
        <f t="shared" si="6"/>
        <v>-0.14285714285714235</v>
      </c>
      <c r="S29" s="443" t="str">
        <f t="shared" ca="1" si="11"/>
        <v>Alerta</v>
      </c>
      <c r="T29" s="787">
        <v>1</v>
      </c>
      <c r="U29" s="444">
        <f t="shared" si="2"/>
        <v>1</v>
      </c>
      <c r="V29" s="444" t="str">
        <f t="shared" si="3"/>
        <v>100%</v>
      </c>
      <c r="W29" s="445" t="str">
        <f t="shared" si="4"/>
        <v>Cumple</v>
      </c>
      <c r="X29" s="800" t="s">
        <v>1813</v>
      </c>
      <c r="Y29" s="801" t="s">
        <v>3226</v>
      </c>
      <c r="Z29" s="448">
        <f t="shared" si="12"/>
        <v>1</v>
      </c>
      <c r="AA29" s="446">
        <v>1</v>
      </c>
      <c r="AB29" s="446">
        <v>1</v>
      </c>
      <c r="AC29" s="447">
        <f>AVERAGE(Z29:AB29)</f>
        <v>1</v>
      </c>
      <c r="AD29" s="793" t="s">
        <v>3242</v>
      </c>
    </row>
    <row r="30" spans="1:30" s="226" customFormat="1" ht="141.75" customHeight="1" x14ac:dyDescent="0.2">
      <c r="A30" s="561" t="s">
        <v>202</v>
      </c>
      <c r="B30" s="561" t="s">
        <v>53</v>
      </c>
      <c r="C30" s="564" t="s">
        <v>1814</v>
      </c>
      <c r="D30" s="1081"/>
      <c r="E30" s="1064"/>
      <c r="F30" s="559" t="s">
        <v>1815</v>
      </c>
      <c r="G30" s="559" t="s">
        <v>1816</v>
      </c>
      <c r="H30" s="560">
        <v>1</v>
      </c>
      <c r="I30" s="559" t="s">
        <v>1817</v>
      </c>
      <c r="J30" s="559" t="s">
        <v>501</v>
      </c>
      <c r="K30" s="559" t="s">
        <v>1818</v>
      </c>
      <c r="L30" s="559" t="s">
        <v>1819</v>
      </c>
      <c r="M30" s="796">
        <v>45488</v>
      </c>
      <c r="N30" s="797">
        <v>46011</v>
      </c>
      <c r="O30" s="785">
        <f t="shared" si="10"/>
        <v>74.714285714285708</v>
      </c>
      <c r="P30" s="786">
        <v>45693</v>
      </c>
      <c r="Q30" s="786">
        <v>45693</v>
      </c>
      <c r="R30" s="442">
        <f t="shared" si="6"/>
        <v>-45.428571428571423</v>
      </c>
      <c r="S30" s="443" t="str">
        <f t="shared" ca="1" si="11"/>
        <v>En tiempo</v>
      </c>
      <c r="T30" s="787">
        <v>1</v>
      </c>
      <c r="U30" s="444">
        <f t="shared" si="2"/>
        <v>1</v>
      </c>
      <c r="V30" s="444" t="str">
        <f t="shared" si="3"/>
        <v>100%</v>
      </c>
      <c r="W30" s="445" t="str">
        <f t="shared" si="4"/>
        <v>Cumple</v>
      </c>
      <c r="X30" s="791" t="s">
        <v>3227</v>
      </c>
      <c r="Y30" s="792" t="s">
        <v>3228</v>
      </c>
      <c r="Z30" s="444">
        <f t="shared" si="12"/>
        <v>1</v>
      </c>
      <c r="AA30" s="446">
        <v>0.8</v>
      </c>
      <c r="AB30" s="446"/>
      <c r="AC30" s="447"/>
      <c r="AD30" s="793"/>
    </row>
    <row r="31" spans="1:30" s="226" customFormat="1" ht="252.75" customHeight="1" x14ac:dyDescent="0.2">
      <c r="A31" s="1061" t="s">
        <v>202</v>
      </c>
      <c r="B31" s="1061" t="s">
        <v>53</v>
      </c>
      <c r="C31" s="1083" t="s">
        <v>1820</v>
      </c>
      <c r="D31" s="1083" t="s">
        <v>1821</v>
      </c>
      <c r="E31" s="1086" t="s">
        <v>1822</v>
      </c>
      <c r="F31" s="680" t="s">
        <v>1823</v>
      </c>
      <c r="G31" s="559" t="s">
        <v>1824</v>
      </c>
      <c r="H31" s="559">
        <v>1</v>
      </c>
      <c r="I31" s="559" t="s">
        <v>1825</v>
      </c>
      <c r="J31" s="559" t="s">
        <v>501</v>
      </c>
      <c r="K31" s="559" t="s">
        <v>61</v>
      </c>
      <c r="L31" s="559" t="s">
        <v>1826</v>
      </c>
      <c r="M31" s="796">
        <v>45359</v>
      </c>
      <c r="N31" s="796">
        <v>45991</v>
      </c>
      <c r="O31" s="785">
        <f t="shared" si="10"/>
        <v>90.285714285714292</v>
      </c>
      <c r="P31" s="786">
        <v>45693</v>
      </c>
      <c r="Q31" s="786">
        <f>P31</f>
        <v>45693</v>
      </c>
      <c r="R31" s="442">
        <f t="shared" si="6"/>
        <v>-42.571428571428577</v>
      </c>
      <c r="S31" s="443" t="str">
        <f t="shared" ca="1" si="11"/>
        <v>En tiempo</v>
      </c>
      <c r="T31" s="787">
        <v>0.5</v>
      </c>
      <c r="U31" s="444">
        <f t="shared" si="2"/>
        <v>0.5</v>
      </c>
      <c r="V31" s="444" t="str">
        <f t="shared" si="3"/>
        <v>100%</v>
      </c>
      <c r="W31" s="445" t="str">
        <f t="shared" si="4"/>
        <v>Cumple</v>
      </c>
      <c r="X31" s="788" t="s">
        <v>3229</v>
      </c>
      <c r="Y31" s="305" t="s">
        <v>3230</v>
      </c>
      <c r="Z31" s="444">
        <f t="shared" si="12"/>
        <v>0.75</v>
      </c>
      <c r="AA31" s="688"/>
      <c r="AB31" s="446"/>
      <c r="AC31" s="447"/>
      <c r="AD31" s="793"/>
    </row>
    <row r="32" spans="1:30" s="226" customFormat="1" ht="197.25" customHeight="1" x14ac:dyDescent="0.2">
      <c r="A32" s="1066"/>
      <c r="B32" s="1066"/>
      <c r="C32" s="1084"/>
      <c r="D32" s="1084"/>
      <c r="E32" s="1087"/>
      <c r="F32" s="681" t="s">
        <v>1827</v>
      </c>
      <c r="G32" s="559" t="s">
        <v>1352</v>
      </c>
      <c r="H32" s="559">
        <v>1</v>
      </c>
      <c r="I32" s="559" t="s">
        <v>1825</v>
      </c>
      <c r="J32" s="559" t="s">
        <v>501</v>
      </c>
      <c r="K32" s="559" t="s">
        <v>61</v>
      </c>
      <c r="L32" s="559" t="s">
        <v>1828</v>
      </c>
      <c r="M32" s="796">
        <v>45359</v>
      </c>
      <c r="N32" s="797">
        <v>45828</v>
      </c>
      <c r="O32" s="785">
        <f t="shared" si="10"/>
        <v>67</v>
      </c>
      <c r="P32" s="786">
        <v>45693</v>
      </c>
      <c r="Q32" s="786">
        <f>P32</f>
        <v>45693</v>
      </c>
      <c r="R32" s="442">
        <f t="shared" si="6"/>
        <v>-19.285714285714285</v>
      </c>
      <c r="S32" s="443" t="str">
        <f t="shared" ca="1" si="11"/>
        <v>En tiempo</v>
      </c>
      <c r="T32" s="787">
        <v>0.1</v>
      </c>
      <c r="U32" s="444">
        <f t="shared" si="2"/>
        <v>0.1</v>
      </c>
      <c r="V32" s="444" t="str">
        <f t="shared" si="3"/>
        <v>100%</v>
      </c>
      <c r="W32" s="445" t="str">
        <f t="shared" si="4"/>
        <v>Cumple</v>
      </c>
      <c r="X32" s="788" t="s">
        <v>3231</v>
      </c>
      <c r="Y32" s="305" t="s">
        <v>3232</v>
      </c>
      <c r="Z32" s="444">
        <f t="shared" si="12"/>
        <v>0.55000000000000004</v>
      </c>
      <c r="AA32" s="446"/>
      <c r="AB32" s="446"/>
      <c r="AC32" s="447"/>
      <c r="AD32" s="793"/>
    </row>
    <row r="33" spans="1:30" s="226" customFormat="1" ht="65.25" customHeight="1" x14ac:dyDescent="0.2">
      <c r="A33" s="1062"/>
      <c r="B33" s="1062"/>
      <c r="C33" s="1085"/>
      <c r="D33" s="1085"/>
      <c r="E33" s="1088"/>
      <c r="F33" s="559" t="s">
        <v>1829</v>
      </c>
      <c r="G33" s="559" t="s">
        <v>1830</v>
      </c>
      <c r="H33" s="560">
        <v>1</v>
      </c>
      <c r="I33" s="559" t="s">
        <v>1825</v>
      </c>
      <c r="J33" s="559" t="s">
        <v>501</v>
      </c>
      <c r="K33" s="559" t="s">
        <v>61</v>
      </c>
      <c r="L33" s="559" t="s">
        <v>1831</v>
      </c>
      <c r="M33" s="796">
        <v>45488</v>
      </c>
      <c r="N33" s="796">
        <v>45991</v>
      </c>
      <c r="O33" s="785">
        <f t="shared" si="10"/>
        <v>71.857142857142861</v>
      </c>
      <c r="P33" s="786">
        <v>45693</v>
      </c>
      <c r="Q33" s="786">
        <f>P33</f>
        <v>45693</v>
      </c>
      <c r="R33" s="442">
        <f t="shared" si="6"/>
        <v>-42.571428571428577</v>
      </c>
      <c r="S33" s="443" t="str">
        <f t="shared" ca="1" si="11"/>
        <v>En tiempo</v>
      </c>
      <c r="T33" s="787"/>
      <c r="U33" s="444">
        <f t="shared" si="2"/>
        <v>0</v>
      </c>
      <c r="V33" s="444" t="str">
        <f t="shared" si="3"/>
        <v>100%</v>
      </c>
      <c r="W33" s="445" t="str">
        <f t="shared" si="4"/>
        <v>Cumple</v>
      </c>
      <c r="X33" s="802" t="s">
        <v>1832</v>
      </c>
      <c r="Y33" s="305" t="s">
        <v>3233</v>
      </c>
      <c r="Z33" s="444">
        <f t="shared" si="12"/>
        <v>0.5</v>
      </c>
      <c r="AA33" s="446"/>
      <c r="AB33" s="446"/>
      <c r="AC33" s="447"/>
      <c r="AD33" s="793"/>
    </row>
    <row r="34" spans="1:30" s="226" customFormat="1" ht="174" customHeight="1" x14ac:dyDescent="0.2">
      <c r="A34" s="1061" t="s">
        <v>202</v>
      </c>
      <c r="B34" s="1061" t="s">
        <v>53</v>
      </c>
      <c r="C34" s="1080" t="s">
        <v>1833</v>
      </c>
      <c r="D34" s="1063" t="s">
        <v>1834</v>
      </c>
      <c r="E34" s="1063" t="s">
        <v>1835</v>
      </c>
      <c r="F34" s="559" t="s">
        <v>1836</v>
      </c>
      <c r="G34" s="559" t="s">
        <v>1837</v>
      </c>
      <c r="H34" s="559">
        <v>1</v>
      </c>
      <c r="I34" s="559" t="s">
        <v>1838</v>
      </c>
      <c r="J34" s="559" t="s">
        <v>501</v>
      </c>
      <c r="K34" s="559" t="s">
        <v>61</v>
      </c>
      <c r="L34" s="559" t="s">
        <v>1839</v>
      </c>
      <c r="M34" s="796">
        <v>45359</v>
      </c>
      <c r="N34" s="796">
        <v>45991</v>
      </c>
      <c r="O34" s="785">
        <f t="shared" si="10"/>
        <v>90.285714285714292</v>
      </c>
      <c r="P34" s="786">
        <v>45693</v>
      </c>
      <c r="Q34" s="786">
        <f t="shared" ref="Q34:Q36" si="13">P34</f>
        <v>45693</v>
      </c>
      <c r="R34" s="442">
        <f t="shared" si="6"/>
        <v>-42.571428571428577</v>
      </c>
      <c r="S34" s="443" t="str">
        <f t="shared" ca="1" si="11"/>
        <v>En tiempo</v>
      </c>
      <c r="T34" s="787"/>
      <c r="U34" s="444">
        <f t="shared" si="2"/>
        <v>0</v>
      </c>
      <c r="V34" s="444" t="str">
        <f t="shared" si="3"/>
        <v>100%</v>
      </c>
      <c r="W34" s="445" t="str">
        <f t="shared" si="4"/>
        <v>Cumple</v>
      </c>
      <c r="X34" s="802" t="s">
        <v>1832</v>
      </c>
      <c r="Y34" s="305" t="s">
        <v>3220</v>
      </c>
      <c r="Z34" s="444">
        <f t="shared" si="12"/>
        <v>0.5</v>
      </c>
      <c r="AA34" s="446"/>
      <c r="AB34" s="446"/>
      <c r="AC34" s="447"/>
      <c r="AD34" s="793"/>
    </row>
    <row r="35" spans="1:30" s="226" customFormat="1" ht="73.5" customHeight="1" x14ac:dyDescent="0.2">
      <c r="A35" s="1066"/>
      <c r="B35" s="1066"/>
      <c r="C35" s="1082"/>
      <c r="D35" s="1065"/>
      <c r="E35" s="1065"/>
      <c r="F35" s="559" t="s">
        <v>1840</v>
      </c>
      <c r="G35" s="559" t="s">
        <v>1702</v>
      </c>
      <c r="H35" s="559">
        <v>1</v>
      </c>
      <c r="I35" s="559" t="s">
        <v>1841</v>
      </c>
      <c r="J35" s="559" t="s">
        <v>501</v>
      </c>
      <c r="K35" s="559" t="s">
        <v>61</v>
      </c>
      <c r="L35" s="559" t="s">
        <v>1842</v>
      </c>
      <c r="M35" s="796">
        <v>45524</v>
      </c>
      <c r="N35" s="796">
        <v>45991</v>
      </c>
      <c r="O35" s="785">
        <f t="shared" si="10"/>
        <v>66.714285714285708</v>
      </c>
      <c r="P35" s="786">
        <v>45693</v>
      </c>
      <c r="Q35" s="786">
        <f t="shared" si="13"/>
        <v>45693</v>
      </c>
      <c r="R35" s="442">
        <f t="shared" si="6"/>
        <v>-42.571428571428569</v>
      </c>
      <c r="S35" s="443" t="str">
        <f t="shared" ca="1" si="11"/>
        <v>En tiempo</v>
      </c>
      <c r="T35" s="787"/>
      <c r="U35" s="444">
        <f t="shared" si="2"/>
        <v>0</v>
      </c>
      <c r="V35" s="444" t="str">
        <f t="shared" si="3"/>
        <v>100%</v>
      </c>
      <c r="W35" s="445" t="str">
        <f t="shared" si="4"/>
        <v>Cumple</v>
      </c>
      <c r="X35" s="802" t="s">
        <v>1832</v>
      </c>
      <c r="Y35" s="305" t="s">
        <v>1843</v>
      </c>
      <c r="Z35" s="444">
        <f t="shared" si="12"/>
        <v>0.5</v>
      </c>
      <c r="AA35" s="446"/>
      <c r="AB35" s="446"/>
      <c r="AC35" s="447"/>
      <c r="AD35" s="793"/>
    </row>
    <row r="36" spans="1:30" s="226" customFormat="1" ht="83.25" customHeight="1" x14ac:dyDescent="0.2">
      <c r="A36" s="1062"/>
      <c r="B36" s="1062"/>
      <c r="C36" s="1081"/>
      <c r="D36" s="1064"/>
      <c r="E36" s="1064"/>
      <c r="F36" s="559" t="s">
        <v>1844</v>
      </c>
      <c r="G36" s="559" t="s">
        <v>1845</v>
      </c>
      <c r="H36" s="560">
        <v>1</v>
      </c>
      <c r="I36" s="559" t="s">
        <v>1838</v>
      </c>
      <c r="J36" s="559" t="s">
        <v>501</v>
      </c>
      <c r="K36" s="559" t="s">
        <v>61</v>
      </c>
      <c r="L36" s="559" t="s">
        <v>1846</v>
      </c>
      <c r="M36" s="796">
        <v>45555</v>
      </c>
      <c r="N36" s="796">
        <v>45991</v>
      </c>
      <c r="O36" s="785">
        <f t="shared" si="10"/>
        <v>62.285714285714285</v>
      </c>
      <c r="P36" s="786">
        <v>45693</v>
      </c>
      <c r="Q36" s="786">
        <f t="shared" si="13"/>
        <v>45693</v>
      </c>
      <c r="R36" s="442">
        <f t="shared" si="6"/>
        <v>-42.571428571428569</v>
      </c>
      <c r="S36" s="443" t="str">
        <f t="shared" ca="1" si="11"/>
        <v>En tiempo</v>
      </c>
      <c r="T36" s="787"/>
      <c r="U36" s="444">
        <f t="shared" si="2"/>
        <v>0</v>
      </c>
      <c r="V36" s="444" t="str">
        <f t="shared" si="3"/>
        <v>100%</v>
      </c>
      <c r="W36" s="445" t="str">
        <f t="shared" si="4"/>
        <v>Cumple</v>
      </c>
      <c r="X36" s="802" t="s">
        <v>1832</v>
      </c>
      <c r="Y36" s="803" t="s">
        <v>1847</v>
      </c>
      <c r="Z36" s="444">
        <f t="shared" si="12"/>
        <v>0.5</v>
      </c>
      <c r="AA36" s="446"/>
      <c r="AB36" s="446"/>
      <c r="AC36" s="447"/>
      <c r="AD36" s="793"/>
    </row>
    <row r="37" spans="1:30" s="226" customFormat="1" ht="342.75" customHeight="1" x14ac:dyDescent="0.2">
      <c r="A37" s="1061" t="s">
        <v>202</v>
      </c>
      <c r="B37" s="1061" t="s">
        <v>53</v>
      </c>
      <c r="C37" s="1080" t="s">
        <v>1848</v>
      </c>
      <c r="D37" s="1080" t="s">
        <v>1849</v>
      </c>
      <c r="E37" s="1080" t="s">
        <v>1850</v>
      </c>
      <c r="F37" s="559" t="s">
        <v>1851</v>
      </c>
      <c r="G37" s="559" t="s">
        <v>1852</v>
      </c>
      <c r="H37" s="559">
        <v>1</v>
      </c>
      <c r="I37" s="559" t="s">
        <v>1825</v>
      </c>
      <c r="J37" s="559" t="s">
        <v>501</v>
      </c>
      <c r="K37" s="559" t="s">
        <v>61</v>
      </c>
      <c r="L37" s="559" t="s">
        <v>1828</v>
      </c>
      <c r="M37" s="796">
        <v>45359</v>
      </c>
      <c r="N37" s="796">
        <v>45463</v>
      </c>
      <c r="O37" s="785">
        <f t="shared" si="10"/>
        <v>14.857142857142858</v>
      </c>
      <c r="P37" s="786">
        <v>45693</v>
      </c>
      <c r="Q37" s="786">
        <v>45693</v>
      </c>
      <c r="R37" s="442">
        <f t="shared" si="6"/>
        <v>32.857142857142861</v>
      </c>
      <c r="S37" s="443" t="str">
        <f t="shared" ca="1" si="11"/>
        <v>Alerta</v>
      </c>
      <c r="T37" s="787">
        <v>1</v>
      </c>
      <c r="U37" s="444">
        <f t="shared" si="2"/>
        <v>1</v>
      </c>
      <c r="V37" s="444">
        <v>1</v>
      </c>
      <c r="W37" s="445" t="str">
        <f t="shared" si="4"/>
        <v>Incumple</v>
      </c>
      <c r="X37" s="788" t="s">
        <v>3234</v>
      </c>
      <c r="Y37" s="804" t="s">
        <v>3235</v>
      </c>
      <c r="Z37" s="444">
        <f t="shared" si="12"/>
        <v>1</v>
      </c>
      <c r="AA37" s="446">
        <v>0.7</v>
      </c>
      <c r="AB37" s="446">
        <v>0.7</v>
      </c>
      <c r="AC37" s="447">
        <f>AVERAGE(Z37:AB37)</f>
        <v>0.79999999999999993</v>
      </c>
      <c r="AD37" s="793" t="s">
        <v>3243</v>
      </c>
    </row>
    <row r="38" spans="1:30" s="226" customFormat="1" ht="257.25" customHeight="1" x14ac:dyDescent="0.2">
      <c r="A38" s="1062"/>
      <c r="B38" s="1062"/>
      <c r="C38" s="1081"/>
      <c r="D38" s="1081"/>
      <c r="E38" s="1081"/>
      <c r="F38" s="559" t="s">
        <v>1853</v>
      </c>
      <c r="G38" s="559" t="s">
        <v>1830</v>
      </c>
      <c r="H38" s="560">
        <v>1</v>
      </c>
      <c r="I38" s="559" t="s">
        <v>1825</v>
      </c>
      <c r="J38" s="559" t="s">
        <v>501</v>
      </c>
      <c r="K38" s="559" t="s">
        <v>61</v>
      </c>
      <c r="L38" s="559" t="s">
        <v>1831</v>
      </c>
      <c r="M38" s="796">
        <v>45488</v>
      </c>
      <c r="N38" s="796">
        <v>45646</v>
      </c>
      <c r="O38" s="785">
        <f t="shared" si="10"/>
        <v>22.571428571428573</v>
      </c>
      <c r="P38" s="786">
        <v>45693</v>
      </c>
      <c r="Q38" s="786">
        <f>P38</f>
        <v>45693</v>
      </c>
      <c r="R38" s="442">
        <f>(Q38-M38)/7-O38</f>
        <v>6.7142857142857117</v>
      </c>
      <c r="S38" s="443" t="str">
        <f t="shared" ca="1" si="11"/>
        <v>Alerta</v>
      </c>
      <c r="T38" s="787">
        <v>0.8</v>
      </c>
      <c r="U38" s="444">
        <f t="shared" si="2"/>
        <v>0.8</v>
      </c>
      <c r="V38" s="444">
        <f>IF(R38&gt;O38,0%,IF(R38&lt;=0,"100%",1-(R38/O38)))</f>
        <v>0.70253164556962044</v>
      </c>
      <c r="W38" s="445" t="str">
        <f t="shared" si="4"/>
        <v>Incumple</v>
      </c>
      <c r="X38" s="788" t="s">
        <v>1854</v>
      </c>
      <c r="Y38" s="805" t="s">
        <v>1855</v>
      </c>
      <c r="Z38" s="444">
        <f t="shared" si="12"/>
        <v>0.75126582278481024</v>
      </c>
      <c r="AA38" s="446">
        <v>0.8</v>
      </c>
      <c r="AB38" s="446"/>
      <c r="AC38" s="447"/>
      <c r="AD38" s="69"/>
    </row>
    <row r="39" spans="1:30" ht="15" x14ac:dyDescent="0.2">
      <c r="G39" s="342" t="s">
        <v>314</v>
      </c>
      <c r="H39" s="343">
        <f>SUM(H7:H38)</f>
        <v>32</v>
      </c>
      <c r="R39" s="1079" t="s">
        <v>195</v>
      </c>
      <c r="S39" s="1079"/>
      <c r="T39" s="344">
        <f>SUM(T7:T38)</f>
        <v>12.100000000000001</v>
      </c>
      <c r="U39" s="345">
        <f>AVERAGE(U7:U38)</f>
        <v>0.37812500000000004</v>
      </c>
      <c r="V39" s="346"/>
      <c r="W39" s="347">
        <f>(COUNTIF(W7:W38,"Cumple")*100%)/COUNTA(W7:W38)</f>
        <v>0.90625</v>
      </c>
      <c r="AA39" s="1079" t="s">
        <v>195</v>
      </c>
      <c r="AB39" s="1079"/>
      <c r="AC39" s="347">
        <f>AVERAGE(AC7:AC38)</f>
        <v>0.86249999999999993</v>
      </c>
    </row>
    <row r="45" spans="1:30" x14ac:dyDescent="0.2">
      <c r="P45" s="348"/>
    </row>
  </sheetData>
  <autoFilter ref="A6:BB6" xr:uid="{9056B033-D962-4B7B-A107-8A1F3EA26E99}"/>
  <mergeCells count="83">
    <mergeCell ref="B37:B38"/>
    <mergeCell ref="C31:C33"/>
    <mergeCell ref="B31:B33"/>
    <mergeCell ref="A31:A33"/>
    <mergeCell ref="A28:A29"/>
    <mergeCell ref="B28:B29"/>
    <mergeCell ref="C37:C38"/>
    <mergeCell ref="C34:C36"/>
    <mergeCell ref="A34:A36"/>
    <mergeCell ref="B34:B36"/>
    <mergeCell ref="A37:A38"/>
    <mergeCell ref="D28:D30"/>
    <mergeCell ref="D31:D33"/>
    <mergeCell ref="R39:S39"/>
    <mergeCell ref="E28:E30"/>
    <mergeCell ref="E31:E33"/>
    <mergeCell ref="D37:D38"/>
    <mergeCell ref="E37:E38"/>
    <mergeCell ref="D34:D36"/>
    <mergeCell ref="E34:E36"/>
    <mergeCell ref="AA39:AB39"/>
    <mergeCell ref="C7:C11"/>
    <mergeCell ref="D7:D11"/>
    <mergeCell ref="E7:E11"/>
    <mergeCell ref="C12:C13"/>
    <mergeCell ref="D12:D13"/>
    <mergeCell ref="E12:E13"/>
    <mergeCell ref="D15:D17"/>
    <mergeCell ref="E15:E17"/>
    <mergeCell ref="C19:C20"/>
    <mergeCell ref="D19:D20"/>
    <mergeCell ref="E19:E20"/>
    <mergeCell ref="C23:C24"/>
    <mergeCell ref="D23:D24"/>
    <mergeCell ref="E23:E24"/>
    <mergeCell ref="C28:C29"/>
    <mergeCell ref="B7:B11"/>
    <mergeCell ref="A7:A11"/>
    <mergeCell ref="Q4:S4"/>
    <mergeCell ref="T4:U4"/>
    <mergeCell ref="V4:Y4"/>
    <mergeCell ref="A5:N5"/>
    <mergeCell ref="O5:Y5"/>
    <mergeCell ref="A4:B4"/>
    <mergeCell ref="Z5:AD5"/>
    <mergeCell ref="C3:F3"/>
    <mergeCell ref="G3:H3"/>
    <mergeCell ref="I3:N3"/>
    <mergeCell ref="O3:P3"/>
    <mergeCell ref="C4:F4"/>
    <mergeCell ref="G4:H4"/>
    <mergeCell ref="I4:N4"/>
    <mergeCell ref="O4:P4"/>
    <mergeCell ref="A1:B1"/>
    <mergeCell ref="C1:N1"/>
    <mergeCell ref="O1:P2"/>
    <mergeCell ref="Q1:Y2"/>
    <mergeCell ref="Z1:AD4"/>
    <mergeCell ref="A2:B2"/>
    <mergeCell ref="C2:F2"/>
    <mergeCell ref="G2:H2"/>
    <mergeCell ref="I2:N2"/>
    <mergeCell ref="A3:B3"/>
    <mergeCell ref="Q3:W3"/>
    <mergeCell ref="A12:A13"/>
    <mergeCell ref="B12:B13"/>
    <mergeCell ref="C15:C17"/>
    <mergeCell ref="A15:A17"/>
    <mergeCell ref="B15:B17"/>
    <mergeCell ref="A19:A20"/>
    <mergeCell ref="B19:B20"/>
    <mergeCell ref="C21:C22"/>
    <mergeCell ref="D21:D22"/>
    <mergeCell ref="E21:E22"/>
    <mergeCell ref="B21:B22"/>
    <mergeCell ref="A21:A22"/>
    <mergeCell ref="B23:B24"/>
    <mergeCell ref="A23:A24"/>
    <mergeCell ref="C25:C26"/>
    <mergeCell ref="D25:D26"/>
    <mergeCell ref="E25:E26"/>
    <mergeCell ref="B25:B26"/>
    <mergeCell ref="A25:A26"/>
  </mergeCells>
  <conditionalFormatting sqref="R7:R38">
    <cfRule type="cellIs" dxfId="139" priority="20" operator="greaterThan">
      <formula>0</formula>
    </cfRule>
    <cfRule type="cellIs" dxfId="138" priority="21" operator="lessThan">
      <formula>0</formula>
    </cfRule>
  </conditionalFormatting>
  <conditionalFormatting sqref="S7:S38">
    <cfRule type="containsText" dxfId="137" priority="14" operator="containsText" text="Alerta">
      <formula>NOT(ISERROR(SEARCH("Alerta",S7)))</formula>
    </cfRule>
    <cfRule type="containsText" dxfId="136" priority="15" operator="containsText" text="En tiempo">
      <formula>NOT(ISERROR(SEARCH("En tiempo",S7)))</formula>
    </cfRule>
  </conditionalFormatting>
  <conditionalFormatting sqref="U39">
    <cfRule type="cellIs" dxfId="135" priority="1" operator="between">
      <formula>0.29</formula>
      <formula>0</formula>
    </cfRule>
    <cfRule type="cellIs" dxfId="134" priority="2" operator="between">
      <formula>0.49</formula>
      <formula>0.3</formula>
    </cfRule>
    <cfRule type="cellIs" dxfId="133" priority="3" operator="between">
      <formula>0.79</formula>
      <formula>0.5</formula>
    </cfRule>
    <cfRule type="cellIs" dxfId="132" priority="4" operator="between">
      <formula>1</formula>
      <formula>0.8</formula>
    </cfRule>
  </conditionalFormatting>
  <conditionalFormatting sqref="U7:V38 Z7:Z38">
    <cfRule type="cellIs" dxfId="131" priority="5" operator="between">
      <formula>0.29</formula>
      <formula>0</formula>
    </cfRule>
    <cfRule type="cellIs" dxfId="130" priority="6" operator="between">
      <formula>0.49</formula>
      <formula>0.3</formula>
    </cfRule>
    <cfRule type="cellIs" dxfId="129" priority="7" operator="between">
      <formula>0.79</formula>
      <formula>0.5</formula>
    </cfRule>
    <cfRule type="cellIs" dxfId="128" priority="8" operator="between">
      <formula>1</formula>
      <formula>0.8</formula>
    </cfRule>
  </conditionalFormatting>
  <conditionalFormatting sqref="W7:W38">
    <cfRule type="containsText" dxfId="127" priority="12" operator="containsText" text="Incumple">
      <formula>NOT(ISERROR(SEARCH("Incumple",W7)))</formula>
    </cfRule>
    <cfRule type="containsText" dxfId="126" priority="13" operator="containsText" text="Cumple">
      <formula>NOT(ISERROR(SEARCH("Cumple",W7)))</formula>
    </cfRule>
  </conditionalFormatting>
  <conditionalFormatting sqref="W39">
    <cfRule type="cellIs" dxfId="125" priority="16" operator="between">
      <formula>0.19</formula>
      <formula>0</formula>
    </cfRule>
    <cfRule type="cellIs" dxfId="124" priority="17" operator="between">
      <formula>0.49</formula>
      <formula>0.2</formula>
    </cfRule>
    <cfRule type="cellIs" dxfId="123" priority="18" operator="between">
      <formula>0.89</formula>
      <formula>0.5</formula>
    </cfRule>
    <cfRule type="cellIs" dxfId="122" priority="19" operator="between">
      <formula>1</formula>
      <formula>0.9</formula>
    </cfRule>
  </conditionalFormatting>
  <conditionalFormatting sqref="AC7:AC39">
    <cfRule type="cellIs" dxfId="121" priority="9" operator="between">
      <formula>0.3</formula>
      <formula>0</formula>
    </cfRule>
    <cfRule type="cellIs" dxfId="120" priority="10" operator="between">
      <formula>0.6999</formula>
      <formula>0.3111</formula>
    </cfRule>
    <cfRule type="cellIs" dxfId="119" priority="11" operator="between">
      <formula>1</formula>
      <formula>0.7</formula>
    </cfRule>
  </conditionalFormatting>
  <dataValidations count="3">
    <dataValidation type="list" allowBlank="1" showInputMessage="1" showErrorMessage="1" errorTitle="Estado" error="No es un estado de los Planes de Mejoramiento" sqref="Q4:S4" xr:uid="{B533E8AF-511F-44AB-AA73-D16EE2C254C5}">
      <formula1>$AW$4:$AW$7</formula1>
    </dataValidation>
    <dataValidation type="list" allowBlank="1" showInputMessage="1" showErrorMessage="1" sqref="B7 B12 B14:B15 B18:B19 B21 B23 B25 B27:B28 B30:B31 B34 B37" xr:uid="{38FE7D47-85EF-4992-AD3A-F67A26AFF2FD}">
      <formula1>$AV$5:$AV$7</formula1>
    </dataValidation>
    <dataValidation type="list" allowBlank="1" showInputMessage="1" showErrorMessage="1" sqref="A7 A12 A14:A15 A18:A19 A21 A23 A25 A27:A28 A30:A31 A34 A37" xr:uid="{FF964255-FDB8-4069-81C2-82C59C4A37F1}">
      <formula1>$AP$4:$AP$23</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216A7-1A5F-4553-B375-98CA6A4AA4CD}">
  <sheetPr>
    <tabColor rgb="FFFFFF00"/>
  </sheetPr>
  <dimension ref="A1:BB19"/>
  <sheetViews>
    <sheetView topLeftCell="G1" zoomScale="78" zoomScaleNormal="78" workbookViewId="0">
      <selection activeCell="Y7" sqref="Y7"/>
    </sheetView>
  </sheetViews>
  <sheetFormatPr baseColWidth="10" defaultColWidth="17.5703125" defaultRowHeight="12.75" x14ac:dyDescent="0.2"/>
  <cols>
    <col min="1" max="1" width="12.140625" style="53" customWidth="1"/>
    <col min="2" max="2" width="13.7109375" style="53" customWidth="1"/>
    <col min="3" max="3" width="52.140625" style="53" customWidth="1"/>
    <col min="4" max="4" width="32.85546875" style="53" customWidth="1"/>
    <col min="5" max="5" width="30.7109375" style="53" customWidth="1"/>
    <col min="6" max="6" width="38.140625" style="53" customWidth="1"/>
    <col min="7" max="7" width="32.85546875" style="53" customWidth="1"/>
    <col min="8" max="8" width="13" style="53" customWidth="1"/>
    <col min="9" max="9" width="26.5703125" style="53" customWidth="1"/>
    <col min="10" max="10" width="13.7109375" style="53" customWidth="1"/>
    <col min="11" max="11" width="21.42578125" style="53" customWidth="1"/>
    <col min="12" max="12" width="20.5703125" style="53" customWidth="1"/>
    <col min="13" max="14" width="13.42578125" style="53" customWidth="1"/>
    <col min="15" max="15" width="12" style="53" customWidth="1"/>
    <col min="16" max="17" width="19.42578125" style="53" customWidth="1"/>
    <col min="18" max="18" width="11.5703125" style="53" customWidth="1"/>
    <col min="19" max="19" width="11.140625" style="53" customWidth="1"/>
    <col min="20" max="20" width="15" style="53" customWidth="1"/>
    <col min="21" max="22" width="13.42578125" style="53" customWidth="1"/>
    <col min="23" max="23" width="14" style="53" customWidth="1"/>
    <col min="24" max="24" width="77.85546875" style="53" customWidth="1"/>
    <col min="25" max="25" width="80.28515625" style="53" customWidth="1"/>
    <col min="26" max="26" width="12.28515625" style="53" customWidth="1"/>
    <col min="27" max="27" width="13.42578125" style="53" customWidth="1"/>
    <col min="28" max="28" width="14.140625" style="53" customWidth="1"/>
    <col min="29" max="29" width="12.5703125" style="53" customWidth="1"/>
    <col min="30" max="30" width="72.42578125" style="53" customWidth="1"/>
    <col min="31" max="41" width="9.140625" style="226"/>
    <col min="42" max="42" width="28.5703125" style="226" customWidth="1"/>
    <col min="43" max="43" width="42" style="226" customWidth="1"/>
    <col min="44" max="44" width="17.5703125" style="226" customWidth="1"/>
    <col min="45" max="45" width="51.42578125" style="226" customWidth="1"/>
    <col min="46" max="46" width="8.5703125" style="226" customWidth="1"/>
    <col min="47" max="47" width="7.140625" style="226" customWidth="1"/>
    <col min="48" max="48" width="20.85546875" style="226" customWidth="1"/>
    <col min="49" max="49" width="17.5703125" style="226" customWidth="1"/>
    <col min="50" max="50" width="22.42578125" style="226" customWidth="1"/>
    <col min="51" max="54" width="17.5703125" style="226"/>
  </cols>
  <sheetData>
    <row r="1" spans="1:30" ht="105.75" customHeight="1" x14ac:dyDescent="0.2">
      <c r="A1" s="858" t="s">
        <v>0</v>
      </c>
      <c r="B1" s="858"/>
      <c r="C1" s="858" t="s">
        <v>1</v>
      </c>
      <c r="D1" s="858"/>
      <c r="E1" s="858"/>
      <c r="F1" s="858"/>
      <c r="G1" s="858"/>
      <c r="H1" s="858"/>
      <c r="I1" s="858"/>
      <c r="J1" s="858"/>
      <c r="K1" s="858"/>
      <c r="L1" s="858"/>
      <c r="M1" s="858"/>
      <c r="N1" s="858"/>
      <c r="O1" s="858"/>
      <c r="P1" s="858"/>
      <c r="Q1" s="858" t="s">
        <v>2</v>
      </c>
      <c r="R1" s="858"/>
      <c r="S1" s="858"/>
      <c r="T1" s="858"/>
      <c r="U1" s="858"/>
      <c r="V1" s="858"/>
      <c r="W1" s="858"/>
      <c r="X1" s="858"/>
      <c r="Y1" s="858"/>
      <c r="Z1" s="858" t="s">
        <v>2</v>
      </c>
      <c r="AA1" s="858"/>
      <c r="AB1" s="858"/>
      <c r="AC1" s="858"/>
      <c r="AD1" s="858"/>
    </row>
    <row r="2" spans="1:30" ht="24.75" customHeight="1" x14ac:dyDescent="0.2">
      <c r="A2" s="858" t="s">
        <v>197</v>
      </c>
      <c r="B2" s="858"/>
      <c r="C2" s="858" t="s">
        <v>4</v>
      </c>
      <c r="D2" s="862"/>
      <c r="E2" s="862"/>
      <c r="F2" s="862"/>
      <c r="G2" s="858" t="s">
        <v>5</v>
      </c>
      <c r="H2" s="858"/>
      <c r="I2" s="858" t="s">
        <v>6</v>
      </c>
      <c r="J2" s="858"/>
      <c r="K2" s="858"/>
      <c r="L2" s="858"/>
      <c r="M2" s="858"/>
      <c r="N2" s="858"/>
      <c r="O2" s="858"/>
      <c r="P2" s="858"/>
      <c r="Q2" s="858"/>
      <c r="R2" s="858"/>
      <c r="S2" s="858"/>
      <c r="T2" s="858"/>
      <c r="U2" s="858"/>
      <c r="V2" s="858"/>
      <c r="W2" s="858"/>
      <c r="X2" s="858"/>
      <c r="Y2" s="858"/>
      <c r="Z2" s="858"/>
      <c r="AA2" s="858"/>
      <c r="AB2" s="858"/>
      <c r="AC2" s="858"/>
      <c r="AD2" s="858"/>
    </row>
    <row r="3" spans="1:30" ht="28.5" customHeight="1" x14ac:dyDescent="0.2">
      <c r="A3" s="857" t="s">
        <v>7</v>
      </c>
      <c r="B3" s="857"/>
      <c r="C3" s="858" t="s">
        <v>1856</v>
      </c>
      <c r="D3" s="858"/>
      <c r="E3" s="858"/>
      <c r="F3" s="858"/>
      <c r="G3" s="857" t="s">
        <v>9</v>
      </c>
      <c r="H3" s="857"/>
      <c r="I3" s="860">
        <v>45516</v>
      </c>
      <c r="J3" s="858"/>
      <c r="K3" s="858"/>
      <c r="L3" s="858"/>
      <c r="M3" s="858"/>
      <c r="N3" s="858"/>
      <c r="O3" s="857" t="s">
        <v>10</v>
      </c>
      <c r="P3" s="857"/>
      <c r="Q3" s="860">
        <v>45687</v>
      </c>
      <c r="R3" s="860"/>
      <c r="S3" s="860"/>
      <c r="T3" s="860"/>
      <c r="U3" s="860"/>
      <c r="V3" s="860"/>
      <c r="W3" s="132"/>
      <c r="X3" s="133" t="s">
        <v>11</v>
      </c>
      <c r="Y3" s="151" t="s">
        <v>2817</v>
      </c>
      <c r="Z3" s="858"/>
      <c r="AA3" s="858"/>
      <c r="AB3" s="858"/>
      <c r="AC3" s="858"/>
      <c r="AD3" s="858"/>
    </row>
    <row r="4" spans="1:30" ht="29.25" customHeight="1" x14ac:dyDescent="0.2">
      <c r="A4" s="857" t="s">
        <v>13</v>
      </c>
      <c r="B4" s="857"/>
      <c r="C4" s="858" t="s">
        <v>1857</v>
      </c>
      <c r="D4" s="858"/>
      <c r="E4" s="858"/>
      <c r="F4" s="858"/>
      <c r="G4" s="857" t="s">
        <v>15</v>
      </c>
      <c r="H4" s="857"/>
      <c r="I4" s="860">
        <v>45747</v>
      </c>
      <c r="J4" s="858"/>
      <c r="K4" s="858"/>
      <c r="L4" s="858"/>
      <c r="M4" s="858"/>
      <c r="N4" s="858"/>
      <c r="O4" s="857" t="s">
        <v>16</v>
      </c>
      <c r="P4" s="857"/>
      <c r="Q4" s="858" t="s">
        <v>491</v>
      </c>
      <c r="R4" s="858"/>
      <c r="S4" s="858"/>
      <c r="T4" s="857" t="s">
        <v>18</v>
      </c>
      <c r="U4" s="857"/>
      <c r="V4" s="858"/>
      <c r="W4" s="858"/>
      <c r="X4" s="858"/>
      <c r="Y4" s="858"/>
      <c r="Z4" s="858"/>
      <c r="AA4" s="858"/>
      <c r="AB4" s="858"/>
      <c r="AC4" s="858"/>
      <c r="AD4" s="858"/>
    </row>
    <row r="5" spans="1:30" ht="20.25" customHeight="1" x14ac:dyDescent="0.2">
      <c r="A5" s="987" t="s">
        <v>19</v>
      </c>
      <c r="B5" s="1001"/>
      <c r="C5" s="987"/>
      <c r="D5" s="987"/>
      <c r="E5" s="987"/>
      <c r="F5" s="987"/>
      <c r="G5" s="987"/>
      <c r="H5" s="987"/>
      <c r="I5" s="987"/>
      <c r="J5" s="987"/>
      <c r="K5" s="987"/>
      <c r="L5" s="987"/>
      <c r="M5" s="987"/>
      <c r="N5" s="987"/>
      <c r="O5" s="1002" t="s">
        <v>20</v>
      </c>
      <c r="P5" s="988"/>
      <c r="Q5" s="988"/>
      <c r="R5" s="988"/>
      <c r="S5" s="988"/>
      <c r="T5" s="988"/>
      <c r="U5" s="988"/>
      <c r="V5" s="988"/>
      <c r="W5" s="988"/>
      <c r="X5" s="988"/>
      <c r="Y5" s="988"/>
      <c r="Z5" s="989" t="s">
        <v>21</v>
      </c>
      <c r="AA5" s="989"/>
      <c r="AB5" s="989"/>
      <c r="AC5" s="989"/>
      <c r="AD5" s="989"/>
    </row>
    <row r="6" spans="1:30" ht="90" x14ac:dyDescent="0.2">
      <c r="A6" s="229" t="s">
        <v>22</v>
      </c>
      <c r="B6" s="244" t="s">
        <v>23</v>
      </c>
      <c r="C6" s="232" t="s">
        <v>24</v>
      </c>
      <c r="D6" s="227" t="s">
        <v>25</v>
      </c>
      <c r="E6" s="227" t="s">
        <v>26</v>
      </c>
      <c r="F6" s="227" t="s">
        <v>27</v>
      </c>
      <c r="G6" s="227" t="s">
        <v>28</v>
      </c>
      <c r="H6" s="227" t="s">
        <v>29</v>
      </c>
      <c r="I6" s="227" t="s">
        <v>30</v>
      </c>
      <c r="J6" s="227" t="s">
        <v>31</v>
      </c>
      <c r="K6" s="227" t="s">
        <v>32</v>
      </c>
      <c r="L6" s="227" t="s">
        <v>33</v>
      </c>
      <c r="M6" s="227" t="s">
        <v>34</v>
      </c>
      <c r="N6" s="229" t="s">
        <v>35</v>
      </c>
      <c r="O6" s="231" t="s">
        <v>36</v>
      </c>
      <c r="P6" s="230" t="s">
        <v>37</v>
      </c>
      <c r="Q6" s="228" t="s">
        <v>38</v>
      </c>
      <c r="R6" s="228" t="s">
        <v>39</v>
      </c>
      <c r="S6" s="228" t="s">
        <v>40</v>
      </c>
      <c r="T6" s="228" t="s">
        <v>41</v>
      </c>
      <c r="U6" s="228" t="s">
        <v>42</v>
      </c>
      <c r="V6" s="228" t="s">
        <v>43</v>
      </c>
      <c r="W6" s="228" t="s">
        <v>44</v>
      </c>
      <c r="X6" s="228" t="s">
        <v>45</v>
      </c>
      <c r="Y6" s="228" t="s">
        <v>46</v>
      </c>
      <c r="Z6" s="240" t="s">
        <v>47</v>
      </c>
      <c r="AA6" s="240" t="s">
        <v>48</v>
      </c>
      <c r="AB6" s="240" t="s">
        <v>49</v>
      </c>
      <c r="AC6" s="240" t="s">
        <v>50</v>
      </c>
      <c r="AD6" s="240" t="s">
        <v>51</v>
      </c>
    </row>
    <row r="7" spans="1:30" ht="299.25" x14ac:dyDescent="0.2">
      <c r="A7" s="326" t="s">
        <v>202</v>
      </c>
      <c r="B7" s="327" t="s">
        <v>53</v>
      </c>
      <c r="C7" s="331" t="s">
        <v>1858</v>
      </c>
      <c r="D7" s="307" t="s">
        <v>1859</v>
      </c>
      <c r="E7" s="307" t="s">
        <v>1860</v>
      </c>
      <c r="F7" s="307" t="s">
        <v>1861</v>
      </c>
      <c r="G7" s="307" t="s">
        <v>1862</v>
      </c>
      <c r="H7" s="308">
        <v>1</v>
      </c>
      <c r="I7" s="309" t="s">
        <v>1863</v>
      </c>
      <c r="J7" s="309" t="s">
        <v>130</v>
      </c>
      <c r="K7" s="309" t="s">
        <v>61</v>
      </c>
      <c r="L7" s="309" t="s">
        <v>1864</v>
      </c>
      <c r="M7" s="807">
        <v>45537</v>
      </c>
      <c r="N7" s="807">
        <v>45746</v>
      </c>
      <c r="O7" s="785">
        <f>(N7-M7)/7</f>
        <v>29.857142857142858</v>
      </c>
      <c r="P7" s="798">
        <v>45688</v>
      </c>
      <c r="Q7" s="798">
        <f t="shared" ref="Q7:Q18" si="0">P7</f>
        <v>45688</v>
      </c>
      <c r="R7" s="233">
        <f>(Q7-M7)/7-O7</f>
        <v>-8.2857142857142847</v>
      </c>
      <c r="S7" s="234" t="str">
        <f ca="1">IF((N7-TODAY())/7&gt;=0,"En tiempo","Alerta")</f>
        <v>Alerta</v>
      </c>
      <c r="T7" s="292">
        <v>0.8</v>
      </c>
      <c r="U7" s="235">
        <f>IF(T7/H7=1,1,+T7/H7)</f>
        <v>0.8</v>
      </c>
      <c r="V7" s="235" t="str">
        <f>IF(R7&gt;O7,0%,IF(R7&lt;=0,"100%",1-(R7/O7)))</f>
        <v>100%</v>
      </c>
      <c r="W7" s="236" t="str">
        <f>IF(Q7&lt;=N7,"Cumple","Incumple")</f>
        <v>Cumple</v>
      </c>
      <c r="X7" s="284" t="s">
        <v>1865</v>
      </c>
      <c r="Y7" s="285" t="s">
        <v>1866</v>
      </c>
      <c r="Z7" s="235">
        <f>(U7+V7)/2</f>
        <v>0.9</v>
      </c>
      <c r="AA7" s="237"/>
      <c r="AB7" s="237"/>
      <c r="AC7" s="238"/>
      <c r="AD7" s="239"/>
    </row>
    <row r="8" spans="1:30" ht="409.5" x14ac:dyDescent="0.2">
      <c r="A8" s="330" t="s">
        <v>202</v>
      </c>
      <c r="B8" s="329" t="s">
        <v>53</v>
      </c>
      <c r="C8" s="328" t="s">
        <v>1867</v>
      </c>
      <c r="D8" s="306" t="s">
        <v>1868</v>
      </c>
      <c r="E8" s="310" t="s">
        <v>1869</v>
      </c>
      <c r="F8" s="310" t="s">
        <v>1870</v>
      </c>
      <c r="G8" s="310" t="s">
        <v>1871</v>
      </c>
      <c r="H8" s="310">
        <v>3</v>
      </c>
      <c r="I8" s="309" t="s">
        <v>1863</v>
      </c>
      <c r="J8" s="309" t="s">
        <v>60</v>
      </c>
      <c r="K8" s="309" t="s">
        <v>61</v>
      </c>
      <c r="L8" s="309" t="s">
        <v>1872</v>
      </c>
      <c r="M8" s="808">
        <v>45537</v>
      </c>
      <c r="N8" s="808">
        <v>45746</v>
      </c>
      <c r="O8" s="785">
        <f>(N8-M8)/7</f>
        <v>29.857142857142858</v>
      </c>
      <c r="P8" s="798">
        <v>45688</v>
      </c>
      <c r="Q8" s="798">
        <f t="shared" si="0"/>
        <v>45688</v>
      </c>
      <c r="R8" s="233">
        <f>(Q8-M8)/7-O8</f>
        <v>-8.2857142857142847</v>
      </c>
      <c r="S8" s="234" t="str">
        <f t="shared" ref="S8:S18" ca="1" si="1">IF((N8-TODAY())/7&gt;=0,"En tiempo","Alerta")</f>
        <v>Alerta</v>
      </c>
      <c r="T8" s="292">
        <v>3</v>
      </c>
      <c r="U8" s="235">
        <f t="shared" ref="U8:U18" si="2">IF(T8/H8=1,1,+T8/H8)</f>
        <v>1</v>
      </c>
      <c r="V8" s="235" t="str">
        <f t="shared" ref="V8:V18" si="3">IF(R8&gt;O8,0%,IF(R8&lt;=0,"100%",1-(R8/O8)))</f>
        <v>100%</v>
      </c>
      <c r="W8" s="236" t="str">
        <f t="shared" ref="W8:W18" si="4">IF(Q8&lt;=N8,"Cumple","Incumple")</f>
        <v>Cumple</v>
      </c>
      <c r="X8" s="284" t="s">
        <v>1873</v>
      </c>
      <c r="Y8" s="285" t="s">
        <v>1874</v>
      </c>
      <c r="Z8" s="235">
        <f t="shared" ref="Z8:Z18" si="5">(U8+V8)/2</f>
        <v>1</v>
      </c>
      <c r="AA8" s="237">
        <v>1</v>
      </c>
      <c r="AB8" s="237">
        <v>0.25</v>
      </c>
      <c r="AC8" s="238">
        <f>AVERAGE(Z8:AB8)</f>
        <v>0.75</v>
      </c>
      <c r="AD8" s="239" t="s">
        <v>1875</v>
      </c>
    </row>
    <row r="9" spans="1:30" ht="285" x14ac:dyDescent="0.2">
      <c r="A9" s="326" t="s">
        <v>202</v>
      </c>
      <c r="B9" s="327" t="s">
        <v>53</v>
      </c>
      <c r="C9" s="328" t="s">
        <v>1876</v>
      </c>
      <c r="D9" s="306" t="s">
        <v>1877</v>
      </c>
      <c r="E9" s="310" t="s">
        <v>1878</v>
      </c>
      <c r="F9" s="310" t="s">
        <v>1879</v>
      </c>
      <c r="G9" s="310" t="s">
        <v>1880</v>
      </c>
      <c r="H9" s="311">
        <v>1</v>
      </c>
      <c r="I9" s="309" t="s">
        <v>1863</v>
      </c>
      <c r="J9" s="309" t="s">
        <v>241</v>
      </c>
      <c r="K9" s="309" t="s">
        <v>61</v>
      </c>
      <c r="L9" s="309" t="s">
        <v>1872</v>
      </c>
      <c r="M9" s="808">
        <v>45537</v>
      </c>
      <c r="N9" s="808">
        <v>45746</v>
      </c>
      <c r="O9" s="785">
        <f>(N9-M9)/7</f>
        <v>29.857142857142858</v>
      </c>
      <c r="P9" s="798">
        <v>45688</v>
      </c>
      <c r="Q9" s="798">
        <f t="shared" si="0"/>
        <v>45688</v>
      </c>
      <c r="R9" s="233">
        <f>(Q9-M9)/7-O9</f>
        <v>-8.2857142857142847</v>
      </c>
      <c r="S9" s="234" t="str">
        <f t="shared" ca="1" si="1"/>
        <v>Alerta</v>
      </c>
      <c r="T9" s="292">
        <v>1</v>
      </c>
      <c r="U9" s="235">
        <f t="shared" si="2"/>
        <v>1</v>
      </c>
      <c r="V9" s="235" t="str">
        <f t="shared" si="3"/>
        <v>100%</v>
      </c>
      <c r="W9" s="236" t="str">
        <f t="shared" si="4"/>
        <v>Cumple</v>
      </c>
      <c r="X9" s="284" t="s">
        <v>1881</v>
      </c>
      <c r="Y9" s="245" t="s">
        <v>1882</v>
      </c>
      <c r="Z9" s="235">
        <f t="shared" si="5"/>
        <v>1</v>
      </c>
      <c r="AA9" s="237">
        <v>1</v>
      </c>
      <c r="AB9" s="237">
        <v>1</v>
      </c>
      <c r="AC9" s="238">
        <f>AVERAGE(Z9:AB9)</f>
        <v>1</v>
      </c>
      <c r="AD9" s="239" t="s">
        <v>1883</v>
      </c>
    </row>
    <row r="10" spans="1:30" ht="114" x14ac:dyDescent="0.2">
      <c r="A10" s="326" t="s">
        <v>202</v>
      </c>
      <c r="B10" s="327" t="s">
        <v>53</v>
      </c>
      <c r="C10" s="328" t="s">
        <v>1884</v>
      </c>
      <c r="D10" s="306" t="s">
        <v>1885</v>
      </c>
      <c r="E10" s="310" t="s">
        <v>1886</v>
      </c>
      <c r="F10" s="310" t="s">
        <v>1887</v>
      </c>
      <c r="G10" s="310" t="s">
        <v>1888</v>
      </c>
      <c r="H10" s="311">
        <v>1</v>
      </c>
      <c r="I10" s="309" t="s">
        <v>1863</v>
      </c>
      <c r="J10" s="309" t="s">
        <v>241</v>
      </c>
      <c r="K10" s="309" t="s">
        <v>61</v>
      </c>
      <c r="L10" s="309" t="s">
        <v>1872</v>
      </c>
      <c r="M10" s="808">
        <v>45537</v>
      </c>
      <c r="N10" s="808">
        <v>45746</v>
      </c>
      <c r="O10" s="785">
        <f>(N10-M10)/7</f>
        <v>29.857142857142858</v>
      </c>
      <c r="P10" s="798">
        <v>45688</v>
      </c>
      <c r="Q10" s="798">
        <f t="shared" si="0"/>
        <v>45688</v>
      </c>
      <c r="R10" s="233">
        <f t="shared" ref="R10:R18" si="6">(Q10-M10)/7-O10</f>
        <v>-8.2857142857142847</v>
      </c>
      <c r="S10" s="234" t="str">
        <f t="shared" ca="1" si="1"/>
        <v>Alerta</v>
      </c>
      <c r="T10" s="292">
        <v>0.6</v>
      </c>
      <c r="U10" s="235">
        <f t="shared" si="2"/>
        <v>0.6</v>
      </c>
      <c r="V10" s="235" t="str">
        <f t="shared" si="3"/>
        <v>100%</v>
      </c>
      <c r="W10" s="236" t="str">
        <f t="shared" si="4"/>
        <v>Cumple</v>
      </c>
      <c r="X10" s="284" t="s">
        <v>1889</v>
      </c>
      <c r="Y10" s="245" t="s">
        <v>1890</v>
      </c>
      <c r="Z10" s="235">
        <f t="shared" si="5"/>
        <v>0.8</v>
      </c>
      <c r="AA10" s="237"/>
      <c r="AB10" s="237"/>
      <c r="AC10" s="238"/>
      <c r="AD10" s="239"/>
    </row>
    <row r="11" spans="1:30" ht="285" x14ac:dyDescent="0.2">
      <c r="A11" s="326" t="s">
        <v>202</v>
      </c>
      <c r="B11" s="327" t="s">
        <v>53</v>
      </c>
      <c r="C11" s="328" t="s">
        <v>1891</v>
      </c>
      <c r="D11" s="306" t="s">
        <v>1892</v>
      </c>
      <c r="E11" s="310" t="s">
        <v>1893</v>
      </c>
      <c r="F11" s="310" t="s">
        <v>1894</v>
      </c>
      <c r="G11" s="310" t="s">
        <v>1895</v>
      </c>
      <c r="H11" s="310">
        <v>1</v>
      </c>
      <c r="I11" s="309" t="s">
        <v>1863</v>
      </c>
      <c r="J11" s="309" t="s">
        <v>60</v>
      </c>
      <c r="K11" s="309" t="s">
        <v>61</v>
      </c>
      <c r="L11" s="309" t="s">
        <v>1896</v>
      </c>
      <c r="M11" s="808">
        <v>45537</v>
      </c>
      <c r="N11" s="808">
        <v>45746</v>
      </c>
      <c r="O11" s="785">
        <f>(N11-M11)/7</f>
        <v>29.857142857142858</v>
      </c>
      <c r="P11" s="798">
        <v>45688</v>
      </c>
      <c r="Q11" s="798">
        <f t="shared" si="0"/>
        <v>45688</v>
      </c>
      <c r="R11" s="233">
        <f t="shared" si="6"/>
        <v>-8.2857142857142847</v>
      </c>
      <c r="S11" s="234" t="str">
        <f t="shared" ca="1" si="1"/>
        <v>Alerta</v>
      </c>
      <c r="T11" s="292">
        <v>0</v>
      </c>
      <c r="U11" s="235">
        <f t="shared" si="2"/>
        <v>0</v>
      </c>
      <c r="V11" s="235" t="str">
        <f t="shared" si="3"/>
        <v>100%</v>
      </c>
      <c r="W11" s="236" t="str">
        <f t="shared" si="4"/>
        <v>Cumple</v>
      </c>
      <c r="X11" s="286" t="s">
        <v>1897</v>
      </c>
      <c r="Y11" s="245" t="s">
        <v>1898</v>
      </c>
      <c r="Z11" s="235">
        <f t="shared" si="5"/>
        <v>0.5</v>
      </c>
      <c r="AA11" s="237"/>
      <c r="AB11" s="237"/>
      <c r="AC11" s="238"/>
      <c r="AD11" s="239"/>
    </row>
    <row r="12" spans="1:30" ht="128.25" x14ac:dyDescent="0.2">
      <c r="A12" s="326" t="s">
        <v>202</v>
      </c>
      <c r="B12" s="327" t="s">
        <v>53</v>
      </c>
      <c r="C12" s="328" t="s">
        <v>1899</v>
      </c>
      <c r="D12" s="306" t="s">
        <v>1900</v>
      </c>
      <c r="E12" s="310" t="s">
        <v>1901</v>
      </c>
      <c r="F12" s="310" t="s">
        <v>1902</v>
      </c>
      <c r="G12" s="310" t="s">
        <v>1903</v>
      </c>
      <c r="H12" s="310">
        <v>1</v>
      </c>
      <c r="I12" s="309" t="s">
        <v>1863</v>
      </c>
      <c r="J12" s="309" t="s">
        <v>60</v>
      </c>
      <c r="K12" s="309" t="s">
        <v>61</v>
      </c>
      <c r="L12" s="309" t="s">
        <v>1872</v>
      </c>
      <c r="M12" s="808">
        <v>45537</v>
      </c>
      <c r="N12" s="808">
        <v>45746</v>
      </c>
      <c r="O12" s="785">
        <f t="shared" ref="O12:O18" si="7">(N12-M12)/7</f>
        <v>29.857142857142858</v>
      </c>
      <c r="P12" s="798">
        <v>45688</v>
      </c>
      <c r="Q12" s="798">
        <f t="shared" si="0"/>
        <v>45688</v>
      </c>
      <c r="R12" s="233">
        <f t="shared" si="6"/>
        <v>-8.2857142857142847</v>
      </c>
      <c r="S12" s="234" t="str">
        <f t="shared" ca="1" si="1"/>
        <v>Alerta</v>
      </c>
      <c r="T12" s="292">
        <v>0.9</v>
      </c>
      <c r="U12" s="235">
        <f t="shared" si="2"/>
        <v>0.9</v>
      </c>
      <c r="V12" s="235" t="str">
        <f t="shared" si="3"/>
        <v>100%</v>
      </c>
      <c r="W12" s="236" t="str">
        <f t="shared" si="4"/>
        <v>Cumple</v>
      </c>
      <c r="X12" s="286" t="s">
        <v>1904</v>
      </c>
      <c r="Y12" s="245" t="s">
        <v>1905</v>
      </c>
      <c r="Z12" s="235">
        <f t="shared" si="5"/>
        <v>0.95</v>
      </c>
      <c r="AA12" s="237">
        <v>1</v>
      </c>
      <c r="AB12" s="237">
        <v>0.25</v>
      </c>
      <c r="AC12" s="238">
        <f>AVERAGE(Z12:AB12)</f>
        <v>0.73333333333333339</v>
      </c>
      <c r="AD12" s="239" t="s">
        <v>1906</v>
      </c>
    </row>
    <row r="13" spans="1:30" ht="242.25" x14ac:dyDescent="0.2">
      <c r="A13" s="326" t="s">
        <v>202</v>
      </c>
      <c r="B13" s="327" t="s">
        <v>53</v>
      </c>
      <c r="C13" s="328" t="s">
        <v>1907</v>
      </c>
      <c r="D13" s="306" t="s">
        <v>1908</v>
      </c>
      <c r="E13" s="310" t="s">
        <v>1909</v>
      </c>
      <c r="F13" s="310" t="s">
        <v>1910</v>
      </c>
      <c r="G13" s="310" t="s">
        <v>1911</v>
      </c>
      <c r="H13" s="311">
        <v>1</v>
      </c>
      <c r="I13" s="309" t="s">
        <v>1863</v>
      </c>
      <c r="J13" s="309" t="s">
        <v>60</v>
      </c>
      <c r="K13" s="309" t="s">
        <v>61</v>
      </c>
      <c r="L13" s="309" t="s">
        <v>1872</v>
      </c>
      <c r="M13" s="808">
        <v>45537</v>
      </c>
      <c r="N13" s="808">
        <v>45746</v>
      </c>
      <c r="O13" s="785">
        <f>(N13-M13)/7</f>
        <v>29.857142857142858</v>
      </c>
      <c r="P13" s="798">
        <v>45688</v>
      </c>
      <c r="Q13" s="798">
        <f t="shared" si="0"/>
        <v>45688</v>
      </c>
      <c r="R13" s="233">
        <f t="shared" si="6"/>
        <v>-8.2857142857142847</v>
      </c>
      <c r="S13" s="234" t="str">
        <f t="shared" ca="1" si="1"/>
        <v>Alerta</v>
      </c>
      <c r="T13" s="292">
        <v>0.9</v>
      </c>
      <c r="U13" s="235">
        <f t="shared" si="2"/>
        <v>0.9</v>
      </c>
      <c r="V13" s="235" t="str">
        <f t="shared" si="3"/>
        <v>100%</v>
      </c>
      <c r="W13" s="236" t="str">
        <f t="shared" si="4"/>
        <v>Cumple</v>
      </c>
      <c r="X13" s="286" t="s">
        <v>1912</v>
      </c>
      <c r="Y13" s="245" t="s">
        <v>1913</v>
      </c>
      <c r="Z13" s="235">
        <f t="shared" si="5"/>
        <v>0.95</v>
      </c>
      <c r="AA13" s="237">
        <v>1</v>
      </c>
      <c r="AB13" s="237">
        <v>0.25</v>
      </c>
      <c r="AC13" s="238">
        <f>AVERAGE(Z13:AB13)</f>
        <v>0.73333333333333339</v>
      </c>
      <c r="AD13" s="239" t="s">
        <v>1914</v>
      </c>
    </row>
    <row r="14" spans="1:30" ht="327.75" x14ac:dyDescent="0.2">
      <c r="A14" s="1091" t="s">
        <v>202</v>
      </c>
      <c r="B14" s="1089" t="s">
        <v>53</v>
      </c>
      <c r="C14" s="1093" t="s">
        <v>1915</v>
      </c>
      <c r="D14" s="1095" t="s">
        <v>1916</v>
      </c>
      <c r="E14" s="1095" t="s">
        <v>1917</v>
      </c>
      <c r="F14" s="310" t="s">
        <v>1918</v>
      </c>
      <c r="G14" s="310" t="s">
        <v>1919</v>
      </c>
      <c r="H14" s="310">
        <v>1</v>
      </c>
      <c r="I14" s="309" t="s">
        <v>1863</v>
      </c>
      <c r="J14" s="309" t="s">
        <v>60</v>
      </c>
      <c r="K14" s="309" t="s">
        <v>61</v>
      </c>
      <c r="L14" s="309" t="s">
        <v>1920</v>
      </c>
      <c r="M14" s="808">
        <v>45537</v>
      </c>
      <c r="N14" s="808">
        <v>45746</v>
      </c>
      <c r="O14" s="785">
        <f t="shared" si="7"/>
        <v>29.857142857142858</v>
      </c>
      <c r="P14" s="798">
        <v>45688</v>
      </c>
      <c r="Q14" s="798">
        <f t="shared" si="0"/>
        <v>45688</v>
      </c>
      <c r="R14" s="233">
        <f t="shared" si="6"/>
        <v>-8.2857142857142847</v>
      </c>
      <c r="S14" s="234" t="str">
        <f t="shared" ca="1" si="1"/>
        <v>Alerta</v>
      </c>
      <c r="T14" s="292">
        <v>0.9</v>
      </c>
      <c r="U14" s="235">
        <f t="shared" si="2"/>
        <v>0.9</v>
      </c>
      <c r="V14" s="235" t="str">
        <f t="shared" si="3"/>
        <v>100%</v>
      </c>
      <c r="W14" s="236" t="str">
        <f t="shared" si="4"/>
        <v>Cumple</v>
      </c>
      <c r="X14" s="287" t="s">
        <v>1921</v>
      </c>
      <c r="Y14" s="288" t="s">
        <v>1922</v>
      </c>
      <c r="Z14" s="235">
        <f t="shared" si="5"/>
        <v>0.95</v>
      </c>
      <c r="AA14" s="237">
        <v>0.9</v>
      </c>
      <c r="AB14" s="237">
        <v>0.5</v>
      </c>
      <c r="AC14" s="238">
        <f>AVERAGE(Z14:AB14)</f>
        <v>0.78333333333333333</v>
      </c>
      <c r="AD14" s="239" t="s">
        <v>1923</v>
      </c>
    </row>
    <row r="15" spans="1:30" ht="85.5" x14ac:dyDescent="0.2">
      <c r="A15" s="1092"/>
      <c r="B15" s="1090"/>
      <c r="C15" s="1094"/>
      <c r="D15" s="1096"/>
      <c r="E15" s="1096"/>
      <c r="F15" s="310" t="s">
        <v>1924</v>
      </c>
      <c r="G15" s="310" t="s">
        <v>1925</v>
      </c>
      <c r="H15" s="310">
        <v>1</v>
      </c>
      <c r="I15" s="309" t="s">
        <v>1863</v>
      </c>
      <c r="J15" s="309" t="s">
        <v>60</v>
      </c>
      <c r="K15" s="309" t="s">
        <v>61</v>
      </c>
      <c r="L15" s="309" t="s">
        <v>1926</v>
      </c>
      <c r="M15" s="808">
        <v>45537</v>
      </c>
      <c r="N15" s="808">
        <v>45746</v>
      </c>
      <c r="O15" s="785">
        <f t="shared" si="7"/>
        <v>29.857142857142858</v>
      </c>
      <c r="P15" s="798">
        <v>45688</v>
      </c>
      <c r="Q15" s="798">
        <f t="shared" si="0"/>
        <v>45688</v>
      </c>
      <c r="R15" s="233">
        <f>(Q15-M15)/7-O15</f>
        <v>-8.2857142857142847</v>
      </c>
      <c r="S15" s="234" t="str">
        <f t="shared" ca="1" si="1"/>
        <v>Alerta</v>
      </c>
      <c r="T15" s="292">
        <v>1</v>
      </c>
      <c r="U15" s="235">
        <f>IF(T15/H15=1,1,+T15/H15)</f>
        <v>1</v>
      </c>
      <c r="V15" s="235" t="str">
        <f t="shared" si="3"/>
        <v>100%</v>
      </c>
      <c r="W15" s="236" t="str">
        <f t="shared" si="4"/>
        <v>Cumple</v>
      </c>
      <c r="X15" s="286" t="s">
        <v>1927</v>
      </c>
      <c r="Y15" s="289" t="s">
        <v>1928</v>
      </c>
      <c r="Z15" s="235">
        <f t="shared" si="5"/>
        <v>1</v>
      </c>
      <c r="AA15" s="237">
        <v>1</v>
      </c>
      <c r="AB15" s="237">
        <v>1</v>
      </c>
      <c r="AC15" s="238">
        <f>AVERAGE(Z15:AB15)</f>
        <v>1</v>
      </c>
      <c r="AD15" s="239" t="s">
        <v>1929</v>
      </c>
    </row>
    <row r="16" spans="1:30" ht="270.75" x14ac:dyDescent="0.2">
      <c r="A16" s="326" t="s">
        <v>202</v>
      </c>
      <c r="B16" s="327" t="s">
        <v>53</v>
      </c>
      <c r="C16" s="328" t="s">
        <v>1930</v>
      </c>
      <c r="D16" s="1095" t="s">
        <v>1931</v>
      </c>
      <c r="E16" s="1095" t="s">
        <v>1932</v>
      </c>
      <c r="F16" s="310" t="s">
        <v>1933</v>
      </c>
      <c r="G16" s="310" t="s">
        <v>1934</v>
      </c>
      <c r="H16" s="310">
        <v>1</v>
      </c>
      <c r="I16" s="309" t="s">
        <v>1863</v>
      </c>
      <c r="J16" s="309" t="s">
        <v>241</v>
      </c>
      <c r="K16" s="309" t="s">
        <v>61</v>
      </c>
      <c r="L16" s="309" t="s">
        <v>1872</v>
      </c>
      <c r="M16" s="808">
        <v>45537</v>
      </c>
      <c r="N16" s="808">
        <v>45746</v>
      </c>
      <c r="O16" s="785">
        <f t="shared" si="7"/>
        <v>29.857142857142858</v>
      </c>
      <c r="P16" s="798">
        <v>45688</v>
      </c>
      <c r="Q16" s="798">
        <f t="shared" si="0"/>
        <v>45688</v>
      </c>
      <c r="R16" s="233">
        <f t="shared" si="6"/>
        <v>-8.2857142857142847</v>
      </c>
      <c r="S16" s="234" t="str">
        <f t="shared" ca="1" si="1"/>
        <v>Alerta</v>
      </c>
      <c r="T16" s="292">
        <v>0.9</v>
      </c>
      <c r="U16" s="235">
        <f t="shared" si="2"/>
        <v>0.9</v>
      </c>
      <c r="V16" s="235" t="str">
        <f t="shared" si="3"/>
        <v>100%</v>
      </c>
      <c r="W16" s="236" t="str">
        <f t="shared" si="4"/>
        <v>Cumple</v>
      </c>
      <c r="X16" s="284" t="s">
        <v>1935</v>
      </c>
      <c r="Y16" s="245" t="s">
        <v>1936</v>
      </c>
      <c r="Z16" s="235">
        <f t="shared" si="5"/>
        <v>0.95</v>
      </c>
      <c r="AA16" s="237">
        <v>1</v>
      </c>
      <c r="AB16" s="237">
        <v>0.25</v>
      </c>
      <c r="AC16" s="238">
        <f>AVERAGE(Z16:AB16)</f>
        <v>0.73333333333333339</v>
      </c>
      <c r="AD16" s="239" t="s">
        <v>1937</v>
      </c>
    </row>
    <row r="17" spans="1:30" ht="99.75" x14ac:dyDescent="0.2">
      <c r="A17" s="326" t="s">
        <v>202</v>
      </c>
      <c r="B17" s="327" t="s">
        <v>53</v>
      </c>
      <c r="C17" s="328" t="s">
        <v>1938</v>
      </c>
      <c r="D17" s="1096"/>
      <c r="E17" s="1096"/>
      <c r="F17" s="310" t="s">
        <v>1939</v>
      </c>
      <c r="G17" s="310" t="s">
        <v>1940</v>
      </c>
      <c r="H17" s="311">
        <v>1</v>
      </c>
      <c r="I17" s="309" t="s">
        <v>1863</v>
      </c>
      <c r="J17" s="309" t="s">
        <v>60</v>
      </c>
      <c r="K17" s="309" t="s">
        <v>61</v>
      </c>
      <c r="L17" s="309" t="s">
        <v>1360</v>
      </c>
      <c r="M17" s="808">
        <v>45537</v>
      </c>
      <c r="N17" s="808">
        <v>45746</v>
      </c>
      <c r="O17" s="785">
        <f t="shared" si="7"/>
        <v>29.857142857142858</v>
      </c>
      <c r="P17" s="798">
        <v>45688</v>
      </c>
      <c r="Q17" s="798">
        <f t="shared" si="0"/>
        <v>45688</v>
      </c>
      <c r="R17" s="233">
        <f t="shared" si="6"/>
        <v>-8.2857142857142847</v>
      </c>
      <c r="S17" s="234" t="str">
        <f t="shared" ca="1" si="1"/>
        <v>Alerta</v>
      </c>
      <c r="T17" s="292">
        <v>0.5</v>
      </c>
      <c r="U17" s="235">
        <f t="shared" si="2"/>
        <v>0.5</v>
      </c>
      <c r="V17" s="235" t="str">
        <f t="shared" si="3"/>
        <v>100%</v>
      </c>
      <c r="W17" s="236" t="str">
        <f t="shared" si="4"/>
        <v>Cumple</v>
      </c>
      <c r="X17" s="286" t="s">
        <v>1941</v>
      </c>
      <c r="Y17" s="245" t="s">
        <v>1547</v>
      </c>
      <c r="Z17" s="235">
        <f t="shared" si="5"/>
        <v>0.75</v>
      </c>
      <c r="AA17" s="237"/>
      <c r="AB17" s="237"/>
      <c r="AC17" s="238"/>
      <c r="AD17" s="239"/>
    </row>
    <row r="18" spans="1:30" ht="114" x14ac:dyDescent="0.2">
      <c r="A18" s="326" t="s">
        <v>202</v>
      </c>
      <c r="B18" s="327" t="s">
        <v>53</v>
      </c>
      <c r="C18" s="328" t="s">
        <v>1942</v>
      </c>
      <c r="D18" s="306" t="s">
        <v>1943</v>
      </c>
      <c r="E18" s="310" t="s">
        <v>1944</v>
      </c>
      <c r="F18" s="310" t="s">
        <v>1945</v>
      </c>
      <c r="G18" s="310" t="s">
        <v>1934</v>
      </c>
      <c r="H18" s="313">
        <v>1</v>
      </c>
      <c r="I18" s="312" t="s">
        <v>1863</v>
      </c>
      <c r="J18" s="307" t="s">
        <v>241</v>
      </c>
      <c r="K18" s="307" t="s">
        <v>61</v>
      </c>
      <c r="L18" s="307" t="s">
        <v>1872</v>
      </c>
      <c r="M18" s="808">
        <v>45537</v>
      </c>
      <c r="N18" s="808">
        <v>45746</v>
      </c>
      <c r="O18" s="785">
        <f t="shared" si="7"/>
        <v>29.857142857142858</v>
      </c>
      <c r="P18" s="798">
        <v>45688</v>
      </c>
      <c r="Q18" s="798">
        <f t="shared" si="0"/>
        <v>45688</v>
      </c>
      <c r="R18" s="233">
        <f t="shared" si="6"/>
        <v>-8.2857142857142847</v>
      </c>
      <c r="S18" s="234" t="str">
        <f t="shared" ca="1" si="1"/>
        <v>Alerta</v>
      </c>
      <c r="T18" s="292">
        <v>0.5</v>
      </c>
      <c r="U18" s="235">
        <f t="shared" si="2"/>
        <v>0.5</v>
      </c>
      <c r="V18" s="235" t="str">
        <f t="shared" si="3"/>
        <v>100%</v>
      </c>
      <c r="W18" s="236" t="str">
        <f t="shared" si="4"/>
        <v>Cumple</v>
      </c>
      <c r="X18" s="286" t="s">
        <v>1946</v>
      </c>
      <c r="Y18" s="245" t="s">
        <v>1947</v>
      </c>
      <c r="Z18" s="235">
        <f t="shared" si="5"/>
        <v>0.75</v>
      </c>
      <c r="AA18" s="237"/>
      <c r="AB18" s="237"/>
      <c r="AC18" s="238"/>
      <c r="AD18" s="239"/>
    </row>
    <row r="19" spans="1:30" ht="15" x14ac:dyDescent="0.2">
      <c r="G19" s="62" t="s">
        <v>314</v>
      </c>
      <c r="H19" s="63">
        <f>SUM(H7:H18)</f>
        <v>14</v>
      </c>
      <c r="R19" s="996" t="s">
        <v>195</v>
      </c>
      <c r="S19" s="996"/>
      <c r="T19" s="241">
        <f>SUM(T7:T18)</f>
        <v>11</v>
      </c>
      <c r="U19" s="242">
        <f>AVERAGE(U7:U18)</f>
        <v>0.75</v>
      </c>
      <c r="V19" s="153"/>
      <c r="W19" s="243">
        <f>(COUNTIF(W7:W18,"Cumple")*100%)/COUNTA(W7:W18)</f>
        <v>1</v>
      </c>
      <c r="AA19" s="996" t="s">
        <v>195</v>
      </c>
      <c r="AB19" s="996"/>
      <c r="AC19" s="243">
        <f>AVERAGE(AC7:AC18)</f>
        <v>0.81904761904761902</v>
      </c>
    </row>
  </sheetData>
  <autoFilter ref="A6:BB6" xr:uid="{A07216A7-1A5F-4553-B375-98CA6A4AA4CD}"/>
  <mergeCells count="35">
    <mergeCell ref="R19:S19"/>
    <mergeCell ref="AA19:AB19"/>
    <mergeCell ref="C14:C15"/>
    <mergeCell ref="D14:D15"/>
    <mergeCell ref="E14:E15"/>
    <mergeCell ref="D16:D17"/>
    <mergeCell ref="E16:E17"/>
    <mergeCell ref="Z5:AD5"/>
    <mergeCell ref="C3:F3"/>
    <mergeCell ref="G3:H3"/>
    <mergeCell ref="I3:N3"/>
    <mergeCell ref="O3:P3"/>
    <mergeCell ref="Q3:V3"/>
    <mergeCell ref="C4:F4"/>
    <mergeCell ref="G4:H4"/>
    <mergeCell ref="I4:N4"/>
    <mergeCell ref="O4:P4"/>
    <mergeCell ref="Q4:S4"/>
    <mergeCell ref="T4:U4"/>
    <mergeCell ref="V4:Y4"/>
    <mergeCell ref="A5:N5"/>
    <mergeCell ref="O5:Y5"/>
    <mergeCell ref="A4:B4"/>
    <mergeCell ref="Q1:Y2"/>
    <mergeCell ref="Z1:AD4"/>
    <mergeCell ref="A2:B2"/>
    <mergeCell ref="C2:F2"/>
    <mergeCell ref="G2:H2"/>
    <mergeCell ref="I2:N2"/>
    <mergeCell ref="A3:B3"/>
    <mergeCell ref="B14:B15"/>
    <mergeCell ref="A14:A15"/>
    <mergeCell ref="A1:B1"/>
    <mergeCell ref="C1:N1"/>
    <mergeCell ref="O1:P2"/>
  </mergeCells>
  <conditionalFormatting sqref="R7:R18">
    <cfRule type="cellIs" dxfId="118" priority="16" operator="greaterThan">
      <formula>0</formula>
    </cfRule>
    <cfRule type="cellIs" dxfId="117" priority="17" operator="lessThan">
      <formula>0</formula>
    </cfRule>
  </conditionalFormatting>
  <conditionalFormatting sqref="S7:S18">
    <cfRule type="containsText" dxfId="116" priority="10" operator="containsText" text="Alerta">
      <formula>NOT(ISERROR(SEARCH("Alerta",S7)))</formula>
    </cfRule>
    <cfRule type="containsText" dxfId="115" priority="11" operator="containsText" text="En tiempo">
      <formula>NOT(ISERROR(SEARCH("En tiempo",S7)))</formula>
    </cfRule>
  </conditionalFormatting>
  <conditionalFormatting sqref="U7:V18 Z7:Z18 U19">
    <cfRule type="cellIs" dxfId="114" priority="1" operator="between">
      <formula>0.29</formula>
      <formula>0</formula>
    </cfRule>
    <cfRule type="cellIs" dxfId="113" priority="2" operator="between">
      <formula>0.49</formula>
      <formula>0.3</formula>
    </cfRule>
    <cfRule type="cellIs" dxfId="112" priority="3" operator="between">
      <formula>0.79</formula>
      <formula>0.5</formula>
    </cfRule>
    <cfRule type="cellIs" dxfId="111" priority="4" operator="between">
      <formula>1</formula>
      <formula>0.8</formula>
    </cfRule>
  </conditionalFormatting>
  <conditionalFormatting sqref="W7:W18">
    <cfRule type="containsText" dxfId="110" priority="8" operator="containsText" text="Incumple">
      <formula>NOT(ISERROR(SEARCH("Incumple",W7)))</formula>
    </cfRule>
    <cfRule type="containsText" dxfId="109" priority="9" operator="containsText" text="Cumple">
      <formula>NOT(ISERROR(SEARCH("Cumple",W7)))</formula>
    </cfRule>
  </conditionalFormatting>
  <conditionalFormatting sqref="W19">
    <cfRule type="cellIs" dxfId="108" priority="12" operator="between">
      <formula>0.19</formula>
      <formula>0</formula>
    </cfRule>
    <cfRule type="cellIs" dxfId="107" priority="13" operator="between">
      <formula>0.49</formula>
      <formula>0.2</formula>
    </cfRule>
    <cfRule type="cellIs" dxfId="106" priority="14" operator="between">
      <formula>0.89</formula>
      <formula>0.5</formula>
    </cfRule>
    <cfRule type="cellIs" dxfId="105" priority="15" operator="between">
      <formula>1</formula>
      <formula>0.9</formula>
    </cfRule>
  </conditionalFormatting>
  <conditionalFormatting sqref="AC7:AC19">
    <cfRule type="cellIs" dxfId="104" priority="5" operator="between">
      <formula>0.3</formula>
      <formula>0</formula>
    </cfRule>
    <cfRule type="cellIs" dxfId="103" priority="6" operator="between">
      <formula>0.6999</formula>
      <formula>0.3111</formula>
    </cfRule>
    <cfRule type="cellIs" dxfId="102" priority="7" operator="between">
      <formula>1</formula>
      <formula>0.7</formula>
    </cfRule>
  </conditionalFormatting>
  <dataValidations count="3">
    <dataValidation allowBlank="1" showInputMessage="1" showErrorMessage="1" errorTitle="Estado" error="No es un estado de los Planes de Mejoramiento" sqref="Q4:S4" xr:uid="{96145257-45BD-4737-B01F-0CDEECDAD486}"/>
    <dataValidation type="list" allowBlank="1" showInputMessage="1" showErrorMessage="1" sqref="A7:A14 A16:A18" xr:uid="{23ED88CE-C3A7-4381-A0F4-A109FE325B3E}">
      <formula1>"Autoevaluación,Evaluación de Pares,Auditoría Interna,Evaluación Externa ICONTEC,Auditoría Interna Control Interno,Servicio No Conforme,Auditoría Externa CGR"</formula1>
    </dataValidation>
    <dataValidation type="list" allowBlank="1" showInputMessage="1" showErrorMessage="1" sqref="B7:B14 B16:B18" xr:uid="{E74452F7-35D6-4E4B-9E42-0C085F84285B}">
      <formula1>"No conformidad,Oportunidad de Mejora,Observación OCI,Hallazgo CGR"</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14773-333B-48F6-9841-3623AB8A10E2}">
  <sheetPr>
    <tabColor rgb="FFFFFF00"/>
  </sheetPr>
  <dimension ref="A1:BB51"/>
  <sheetViews>
    <sheetView topLeftCell="L1" zoomScale="80" zoomScaleNormal="80" workbookViewId="0">
      <selection activeCell="Y7" sqref="Y7"/>
    </sheetView>
  </sheetViews>
  <sheetFormatPr baseColWidth="10" defaultColWidth="17.5703125" defaultRowHeight="12.75" x14ac:dyDescent="0.2"/>
  <cols>
    <col min="1" max="1" width="12.140625" style="53" customWidth="1"/>
    <col min="2" max="2" width="13.7109375" style="53" customWidth="1"/>
    <col min="3" max="3" width="52.140625" style="53" customWidth="1"/>
    <col min="4" max="4" width="32.85546875" style="53" customWidth="1"/>
    <col min="5" max="5" width="30.7109375" style="53" customWidth="1"/>
    <col min="6" max="6" width="38.140625" style="53" customWidth="1"/>
    <col min="7" max="7" width="32.85546875" style="53" customWidth="1"/>
    <col min="8" max="8" width="13" style="53" customWidth="1"/>
    <col min="9" max="9" width="26.5703125" style="53" customWidth="1"/>
    <col min="10" max="10" width="13.7109375" style="53" customWidth="1"/>
    <col min="11" max="11" width="21.42578125" style="53" customWidth="1"/>
    <col min="12" max="12" width="23" style="53" customWidth="1"/>
    <col min="13" max="14" width="13.42578125" style="53" customWidth="1"/>
    <col min="15" max="15" width="12" style="53" customWidth="1"/>
    <col min="16" max="17" width="19.42578125" style="53" customWidth="1"/>
    <col min="18" max="18" width="11.5703125" style="53" customWidth="1"/>
    <col min="19" max="19" width="11.140625" style="53" customWidth="1"/>
    <col min="20" max="20" width="15" style="53" customWidth="1"/>
    <col min="21" max="22" width="13.42578125" style="53" customWidth="1"/>
    <col min="23" max="23" width="14" style="53" customWidth="1"/>
    <col min="24" max="24" width="77.85546875" style="53" customWidth="1"/>
    <col min="25" max="25" width="73.140625" style="53" customWidth="1"/>
    <col min="26" max="26" width="12.28515625" style="53" customWidth="1"/>
    <col min="27" max="27" width="13.42578125" style="53" customWidth="1"/>
    <col min="28" max="28" width="14.140625" style="53" customWidth="1"/>
    <col min="29" max="29" width="12.5703125" style="53" customWidth="1"/>
    <col min="30" max="30" width="72.42578125" style="53" customWidth="1"/>
    <col min="31" max="41" width="9.140625" style="226" bestFit="1" customWidth="1"/>
    <col min="42" max="42" width="28.5703125" style="226" customWidth="1"/>
    <col min="43" max="43" width="42" style="226" customWidth="1"/>
    <col min="44" max="44" width="17.5703125" style="226" customWidth="1"/>
    <col min="45" max="45" width="51.42578125" style="226" customWidth="1"/>
    <col min="46" max="46" width="8.5703125" style="226" customWidth="1"/>
    <col min="47" max="47" width="7.140625" style="226" customWidth="1"/>
    <col min="48" max="48" width="20.85546875" style="226" customWidth="1"/>
    <col min="49" max="49" width="17.5703125" style="226" customWidth="1"/>
    <col min="50" max="50" width="22.42578125" style="226" customWidth="1"/>
    <col min="51" max="54" width="17.5703125" style="226"/>
  </cols>
  <sheetData>
    <row r="1" spans="1:30" ht="105.75" customHeight="1" x14ac:dyDescent="0.2">
      <c r="A1" s="858" t="s">
        <v>0</v>
      </c>
      <c r="B1" s="858"/>
      <c r="C1" s="858" t="s">
        <v>1</v>
      </c>
      <c r="D1" s="858"/>
      <c r="E1" s="858"/>
      <c r="F1" s="858"/>
      <c r="G1" s="858"/>
      <c r="H1" s="858"/>
      <c r="I1" s="858"/>
      <c r="J1" s="858"/>
      <c r="K1" s="858"/>
      <c r="L1" s="858"/>
      <c r="M1" s="858"/>
      <c r="N1" s="858"/>
      <c r="O1" s="858"/>
      <c r="P1" s="858"/>
      <c r="Q1" s="858" t="s">
        <v>2</v>
      </c>
      <c r="R1" s="858"/>
      <c r="S1" s="858"/>
      <c r="T1" s="858"/>
      <c r="U1" s="858"/>
      <c r="V1" s="858"/>
      <c r="W1" s="858"/>
      <c r="X1" s="858"/>
      <c r="Y1" s="858"/>
      <c r="Z1" s="858" t="s">
        <v>2</v>
      </c>
      <c r="AA1" s="858"/>
      <c r="AB1" s="858"/>
      <c r="AC1" s="858"/>
      <c r="AD1" s="858"/>
    </row>
    <row r="2" spans="1:30" ht="24.75" customHeight="1" x14ac:dyDescent="0.2">
      <c r="A2" s="858" t="s">
        <v>197</v>
      </c>
      <c r="B2" s="858"/>
      <c r="C2" s="858" t="s">
        <v>4</v>
      </c>
      <c r="D2" s="862"/>
      <c r="E2" s="862"/>
      <c r="F2" s="862"/>
      <c r="G2" s="858" t="s">
        <v>5</v>
      </c>
      <c r="H2" s="858"/>
      <c r="I2" s="858" t="s">
        <v>6</v>
      </c>
      <c r="J2" s="858"/>
      <c r="K2" s="858"/>
      <c r="L2" s="858"/>
      <c r="M2" s="858"/>
      <c r="N2" s="858"/>
      <c r="O2" s="858"/>
      <c r="P2" s="858"/>
      <c r="Q2" s="858"/>
      <c r="R2" s="858"/>
      <c r="S2" s="858"/>
      <c r="T2" s="858"/>
      <c r="U2" s="858"/>
      <c r="V2" s="858"/>
      <c r="W2" s="858"/>
      <c r="X2" s="858"/>
      <c r="Y2" s="858"/>
      <c r="Z2" s="858"/>
      <c r="AA2" s="858"/>
      <c r="AB2" s="858"/>
      <c r="AC2" s="858"/>
      <c r="AD2" s="858"/>
    </row>
    <row r="3" spans="1:30" ht="28.5" customHeight="1" x14ac:dyDescent="0.2">
      <c r="A3" s="857" t="s">
        <v>7</v>
      </c>
      <c r="B3" s="857"/>
      <c r="C3" s="1107" t="s">
        <v>1948</v>
      </c>
      <c r="D3" s="1108"/>
      <c r="E3" s="1108"/>
      <c r="F3" s="1109"/>
      <c r="G3" s="857" t="s">
        <v>9</v>
      </c>
      <c r="H3" s="857"/>
      <c r="I3" s="1110">
        <v>45595</v>
      </c>
      <c r="J3" s="1111"/>
      <c r="K3" s="1111"/>
      <c r="L3" s="1111"/>
      <c r="M3" s="1111"/>
      <c r="N3" s="1112"/>
      <c r="O3" s="857" t="s">
        <v>10</v>
      </c>
      <c r="P3" s="857"/>
      <c r="Q3" s="860">
        <v>45695</v>
      </c>
      <c r="R3" s="860"/>
      <c r="S3" s="860"/>
      <c r="T3" s="860"/>
      <c r="U3" s="860"/>
      <c r="V3" s="860"/>
      <c r="W3" s="132"/>
      <c r="X3" s="133" t="s">
        <v>11</v>
      </c>
      <c r="Y3" s="151" t="s">
        <v>2826</v>
      </c>
      <c r="Z3" s="858"/>
      <c r="AA3" s="858"/>
      <c r="AB3" s="858"/>
      <c r="AC3" s="858"/>
      <c r="AD3" s="858"/>
    </row>
    <row r="4" spans="1:30" ht="39.75" customHeight="1" x14ac:dyDescent="0.2">
      <c r="A4" s="857" t="s">
        <v>13</v>
      </c>
      <c r="B4" s="857"/>
      <c r="C4" s="1113" t="s">
        <v>1949</v>
      </c>
      <c r="D4" s="1114"/>
      <c r="E4" s="1114"/>
      <c r="F4" s="1115"/>
      <c r="G4" s="857" t="s">
        <v>15</v>
      </c>
      <c r="H4" s="857"/>
      <c r="I4" s="1116">
        <v>45959</v>
      </c>
      <c r="J4" s="1117"/>
      <c r="K4" s="1117"/>
      <c r="L4" s="1117"/>
      <c r="M4" s="1117"/>
      <c r="N4" s="1118"/>
      <c r="O4" s="857" t="s">
        <v>16</v>
      </c>
      <c r="P4" s="857"/>
      <c r="Q4" s="858" t="s">
        <v>491</v>
      </c>
      <c r="R4" s="858"/>
      <c r="S4" s="858"/>
      <c r="T4" s="857" t="s">
        <v>18</v>
      </c>
      <c r="U4" s="857"/>
      <c r="V4" s="858"/>
      <c r="W4" s="858"/>
      <c r="X4" s="858"/>
      <c r="Y4" s="858"/>
      <c r="Z4" s="858"/>
      <c r="AA4" s="858"/>
      <c r="AB4" s="858"/>
      <c r="AC4" s="858"/>
      <c r="AD4" s="858"/>
    </row>
    <row r="5" spans="1:30" ht="20.25" customHeight="1" x14ac:dyDescent="0.2">
      <c r="A5" s="987" t="s">
        <v>19</v>
      </c>
      <c r="B5" s="1001"/>
      <c r="C5" s="987"/>
      <c r="D5" s="987"/>
      <c r="E5" s="987"/>
      <c r="F5" s="987"/>
      <c r="G5" s="987"/>
      <c r="H5" s="987"/>
      <c r="I5" s="987"/>
      <c r="J5" s="987"/>
      <c r="K5" s="987"/>
      <c r="L5" s="987"/>
      <c r="M5" s="987"/>
      <c r="N5" s="987"/>
      <c r="O5" s="1002" t="s">
        <v>20</v>
      </c>
      <c r="P5" s="988"/>
      <c r="Q5" s="988"/>
      <c r="R5" s="988"/>
      <c r="S5" s="988"/>
      <c r="T5" s="988"/>
      <c r="U5" s="988"/>
      <c r="V5" s="988"/>
      <c r="W5" s="988"/>
      <c r="X5" s="988"/>
      <c r="Y5" s="988"/>
      <c r="Z5" s="989" t="s">
        <v>21</v>
      </c>
      <c r="AA5" s="989"/>
      <c r="AB5" s="989"/>
      <c r="AC5" s="989"/>
      <c r="AD5" s="989"/>
    </row>
    <row r="6" spans="1:30" ht="90" x14ac:dyDescent="0.2">
      <c r="A6" s="229" t="s">
        <v>22</v>
      </c>
      <c r="B6" s="244" t="s">
        <v>23</v>
      </c>
      <c r="C6" s="232" t="s">
        <v>24</v>
      </c>
      <c r="D6" s="227" t="s">
        <v>25</v>
      </c>
      <c r="E6" s="227" t="s">
        <v>26</v>
      </c>
      <c r="F6" s="227" t="s">
        <v>27</v>
      </c>
      <c r="G6" s="227" t="s">
        <v>28</v>
      </c>
      <c r="H6" s="227" t="s">
        <v>29</v>
      </c>
      <c r="I6" s="227" t="s">
        <v>30</v>
      </c>
      <c r="J6" s="227" t="s">
        <v>31</v>
      </c>
      <c r="K6" s="227" t="s">
        <v>32</v>
      </c>
      <c r="L6" s="227" t="s">
        <v>33</v>
      </c>
      <c r="M6" s="227" t="s">
        <v>34</v>
      </c>
      <c r="N6" s="229" t="s">
        <v>35</v>
      </c>
      <c r="O6" s="231" t="s">
        <v>36</v>
      </c>
      <c r="P6" s="230" t="s">
        <v>37</v>
      </c>
      <c r="Q6" s="228" t="s">
        <v>38</v>
      </c>
      <c r="R6" s="228" t="s">
        <v>39</v>
      </c>
      <c r="S6" s="228" t="s">
        <v>40</v>
      </c>
      <c r="T6" s="228" t="s">
        <v>41</v>
      </c>
      <c r="U6" s="228" t="s">
        <v>42</v>
      </c>
      <c r="V6" s="228" t="s">
        <v>43</v>
      </c>
      <c r="W6" s="228" t="s">
        <v>44</v>
      </c>
      <c r="X6" s="228" t="s">
        <v>45</v>
      </c>
      <c r="Y6" s="228" t="s">
        <v>46</v>
      </c>
      <c r="Z6" s="240" t="s">
        <v>47</v>
      </c>
      <c r="AA6" s="240" t="s">
        <v>48</v>
      </c>
      <c r="AB6" s="240" t="s">
        <v>49</v>
      </c>
      <c r="AC6" s="240" t="s">
        <v>50</v>
      </c>
      <c r="AD6" s="240" t="s">
        <v>51</v>
      </c>
    </row>
    <row r="7" spans="1:30" ht="198" customHeight="1" x14ac:dyDescent="0.2">
      <c r="A7" s="1091" t="s">
        <v>202</v>
      </c>
      <c r="B7" s="1089" t="s">
        <v>53</v>
      </c>
      <c r="C7" s="1104" t="s">
        <v>1950</v>
      </c>
      <c r="D7" s="1103" t="s">
        <v>1951</v>
      </c>
      <c r="E7" s="1103" t="s">
        <v>1952</v>
      </c>
      <c r="F7" s="567" t="s">
        <v>1953</v>
      </c>
      <c r="G7" s="568" t="s">
        <v>1954</v>
      </c>
      <c r="H7" s="570">
        <v>1</v>
      </c>
      <c r="I7" s="568" t="s">
        <v>1955</v>
      </c>
      <c r="J7" s="573" t="s">
        <v>865</v>
      </c>
      <c r="K7" s="573" t="s">
        <v>61</v>
      </c>
      <c r="L7" s="573" t="s">
        <v>1258</v>
      </c>
      <c r="M7" s="577">
        <v>45595</v>
      </c>
      <c r="N7" s="577">
        <v>45646</v>
      </c>
      <c r="O7" s="785">
        <f t="shared" ref="O7" si="0">(N7-M7)/7</f>
        <v>7.2857142857142856</v>
      </c>
      <c r="P7" s="798">
        <v>45695</v>
      </c>
      <c r="Q7" s="798">
        <v>45551</v>
      </c>
      <c r="R7" s="233">
        <f t="shared" ref="R7:R50" si="1">(Q7-M7)/7-O7</f>
        <v>-13.571428571428571</v>
      </c>
      <c r="S7" s="234" t="str">
        <f t="shared" ref="S7:S50" ca="1" si="2">IF((N7-TODAY())/7&gt;=0,"En tiempo","Alerta")</f>
        <v>Alerta</v>
      </c>
      <c r="T7" s="787">
        <v>0.9</v>
      </c>
      <c r="U7" s="235">
        <f t="shared" ref="U7:U50" si="3">IF(T7/H7=1,1,+T7/H7)</f>
        <v>0.9</v>
      </c>
      <c r="V7" s="235" t="str">
        <f>IF(R7&gt;O7,0%,IF(R7&lt;=0,"100%",1-(R7/O7)))</f>
        <v>100%</v>
      </c>
      <c r="W7" s="277" t="str">
        <f>IF(Q7&lt;=N7,"Cumple","Incumple")</f>
        <v>Cumple</v>
      </c>
      <c r="X7" s="788" t="s">
        <v>1956</v>
      </c>
      <c r="Y7" s="305" t="s">
        <v>1957</v>
      </c>
      <c r="Z7" s="812">
        <f>(U7+V7)/2</f>
        <v>0.95</v>
      </c>
      <c r="AA7" s="813">
        <v>0.9</v>
      </c>
      <c r="AB7" s="813">
        <v>0.6</v>
      </c>
      <c r="AC7" s="814">
        <f>AVERAGE(Z7:AB7)</f>
        <v>0.81666666666666676</v>
      </c>
      <c r="AD7" s="793" t="s">
        <v>3244</v>
      </c>
    </row>
    <row r="8" spans="1:30" ht="164.25" customHeight="1" x14ac:dyDescent="0.2">
      <c r="A8" s="1097"/>
      <c r="B8" s="1098"/>
      <c r="C8" s="1105"/>
      <c r="D8" s="1099"/>
      <c r="E8" s="1099"/>
      <c r="F8" s="566" t="s">
        <v>1958</v>
      </c>
      <c r="G8" s="569" t="s">
        <v>1064</v>
      </c>
      <c r="H8" s="571">
        <v>1</v>
      </c>
      <c r="I8" s="569" t="s">
        <v>1955</v>
      </c>
      <c r="J8" s="571" t="s">
        <v>865</v>
      </c>
      <c r="K8" s="571" t="s">
        <v>61</v>
      </c>
      <c r="L8" s="571" t="s">
        <v>1959</v>
      </c>
      <c r="M8" s="586">
        <v>45595</v>
      </c>
      <c r="N8" s="586">
        <v>45646</v>
      </c>
      <c r="O8" s="785">
        <f t="shared" ref="O8:O50" si="4">(N8-M8)/7</f>
        <v>7.2857142857142856</v>
      </c>
      <c r="P8" s="798">
        <v>45695</v>
      </c>
      <c r="Q8" s="798">
        <v>45646</v>
      </c>
      <c r="R8" s="233">
        <f>(Q8-M8)/7-O8</f>
        <v>0</v>
      </c>
      <c r="S8" s="234" t="str">
        <f t="shared" ca="1" si="2"/>
        <v>Alerta</v>
      </c>
      <c r="T8" s="787">
        <v>0.9</v>
      </c>
      <c r="U8" s="235">
        <f t="shared" si="3"/>
        <v>0.9</v>
      </c>
      <c r="V8" s="235" t="str">
        <f>IF(R8&gt;O8,0%,IF(R8&lt;=0,"100%",1-(R8/O8)))</f>
        <v>100%</v>
      </c>
      <c r="W8" s="277" t="str">
        <f t="shared" ref="W8:W50" si="5">IF(Q8&lt;=N8,"Cumple","Incumple")</f>
        <v>Cumple</v>
      </c>
      <c r="X8" s="788" t="s">
        <v>1960</v>
      </c>
      <c r="Y8" s="305" t="s">
        <v>1961</v>
      </c>
      <c r="Z8" s="812">
        <f t="shared" ref="Z8:Z50" si="6">(U8+V8)/2</f>
        <v>0.95</v>
      </c>
      <c r="AA8" s="813">
        <v>1</v>
      </c>
      <c r="AB8" s="813">
        <v>0.5</v>
      </c>
      <c r="AC8" s="815">
        <f>AVERAGE(Z8:AB8)</f>
        <v>0.81666666666666676</v>
      </c>
      <c r="AD8" s="793" t="s">
        <v>3245</v>
      </c>
    </row>
    <row r="9" spans="1:30" ht="99.75" customHeight="1" x14ac:dyDescent="0.2">
      <c r="A9" s="1092"/>
      <c r="B9" s="1090"/>
      <c r="C9" s="1106"/>
      <c r="D9" s="1100"/>
      <c r="E9" s="1100"/>
      <c r="F9" s="566" t="s">
        <v>1962</v>
      </c>
      <c r="G9" s="569" t="s">
        <v>1963</v>
      </c>
      <c r="H9" s="572">
        <v>1</v>
      </c>
      <c r="I9" s="569" t="s">
        <v>1955</v>
      </c>
      <c r="J9" s="571" t="s">
        <v>865</v>
      </c>
      <c r="K9" s="571" t="s">
        <v>61</v>
      </c>
      <c r="L9" s="571" t="s">
        <v>1964</v>
      </c>
      <c r="M9" s="586">
        <v>45595</v>
      </c>
      <c r="N9" s="586">
        <v>45646</v>
      </c>
      <c r="O9" s="785">
        <f t="shared" si="4"/>
        <v>7.2857142857142856</v>
      </c>
      <c r="P9" s="798">
        <v>45695</v>
      </c>
      <c r="Q9" s="798">
        <f>P9</f>
        <v>45695</v>
      </c>
      <c r="R9" s="233">
        <f>(Q9-M9)/7-O9</f>
        <v>7.0000000000000009</v>
      </c>
      <c r="S9" s="234" t="str">
        <f t="shared" ca="1" si="2"/>
        <v>Alerta</v>
      </c>
      <c r="T9" s="787">
        <v>0.2</v>
      </c>
      <c r="U9" s="235">
        <f t="shared" si="3"/>
        <v>0.2</v>
      </c>
      <c r="V9" s="235">
        <f>IF(R9&gt;O9,0%,IF(R9&lt;=0,"100%",1-(R9/O9)))</f>
        <v>3.9215686274509665E-2</v>
      </c>
      <c r="W9" s="277" t="str">
        <f t="shared" si="5"/>
        <v>Incumple</v>
      </c>
      <c r="X9" s="788" t="s">
        <v>1965</v>
      </c>
      <c r="Y9" s="305" t="s">
        <v>1966</v>
      </c>
      <c r="Z9" s="812">
        <f t="shared" si="6"/>
        <v>0.11960784313725484</v>
      </c>
      <c r="AA9" s="813"/>
      <c r="AB9" s="813"/>
      <c r="AC9" s="815"/>
      <c r="AD9" s="793"/>
    </row>
    <row r="10" spans="1:30" ht="165.75" customHeight="1" x14ac:dyDescent="0.2">
      <c r="A10" s="1091" t="s">
        <v>202</v>
      </c>
      <c r="B10" s="1089" t="s">
        <v>53</v>
      </c>
      <c r="C10" s="1103" t="s">
        <v>1967</v>
      </c>
      <c r="D10" s="1103" t="s">
        <v>1968</v>
      </c>
      <c r="E10" s="1104" t="s">
        <v>1969</v>
      </c>
      <c r="F10" s="567" t="s">
        <v>1970</v>
      </c>
      <c r="G10" s="568" t="s">
        <v>1536</v>
      </c>
      <c r="H10" s="570">
        <v>1</v>
      </c>
      <c r="I10" s="568" t="s">
        <v>1971</v>
      </c>
      <c r="J10" s="573" t="s">
        <v>865</v>
      </c>
      <c r="K10" s="573" t="s">
        <v>881</v>
      </c>
      <c r="L10" s="573" t="s">
        <v>1972</v>
      </c>
      <c r="M10" s="577">
        <v>45595</v>
      </c>
      <c r="N10" s="577">
        <v>45746</v>
      </c>
      <c r="O10" s="785">
        <f t="shared" si="4"/>
        <v>21.571428571428573</v>
      </c>
      <c r="P10" s="798">
        <v>45695</v>
      </c>
      <c r="Q10" s="798">
        <v>45695</v>
      </c>
      <c r="R10" s="233">
        <f t="shared" si="1"/>
        <v>-7.2857142857142865</v>
      </c>
      <c r="S10" s="234" t="str">
        <f t="shared" ca="1" si="2"/>
        <v>Alerta</v>
      </c>
      <c r="T10" s="787">
        <v>1</v>
      </c>
      <c r="U10" s="235">
        <f t="shared" si="3"/>
        <v>1</v>
      </c>
      <c r="V10" s="235" t="str">
        <f>IF(R10&gt;O10,0%,IF(R10&lt;=0,"100%",1-(R10/O10)))</f>
        <v>100%</v>
      </c>
      <c r="W10" s="277" t="str">
        <f t="shared" si="5"/>
        <v>Cumple</v>
      </c>
      <c r="X10" s="788" t="s">
        <v>1973</v>
      </c>
      <c r="Y10" s="305" t="s">
        <v>1974</v>
      </c>
      <c r="Z10" s="812">
        <f>(U10+V10)/2</f>
        <v>1</v>
      </c>
      <c r="AA10" s="813">
        <v>1</v>
      </c>
      <c r="AB10" s="813">
        <v>1</v>
      </c>
      <c r="AC10" s="815">
        <f>AVERAGE(Z10:AB10)</f>
        <v>1</v>
      </c>
      <c r="AD10" s="793" t="s">
        <v>3246</v>
      </c>
    </row>
    <row r="11" spans="1:30" ht="156" customHeight="1" x14ac:dyDescent="0.2">
      <c r="A11" s="1097"/>
      <c r="B11" s="1098"/>
      <c r="C11" s="1099"/>
      <c r="D11" s="1099"/>
      <c r="E11" s="1105"/>
      <c r="F11" s="566" t="s">
        <v>1975</v>
      </c>
      <c r="G11" s="569" t="s">
        <v>1976</v>
      </c>
      <c r="H11" s="572">
        <v>1</v>
      </c>
      <c r="I11" s="569" t="s">
        <v>1971</v>
      </c>
      <c r="J11" s="571" t="s">
        <v>865</v>
      </c>
      <c r="K11" s="571" t="s">
        <v>881</v>
      </c>
      <c r="L11" s="571" t="s">
        <v>1977</v>
      </c>
      <c r="M11" s="586">
        <v>45595</v>
      </c>
      <c r="N11" s="586">
        <v>45746</v>
      </c>
      <c r="O11" s="785">
        <f t="shared" si="4"/>
        <v>21.571428571428573</v>
      </c>
      <c r="P11" s="798">
        <v>45695</v>
      </c>
      <c r="Q11" s="798">
        <v>45695</v>
      </c>
      <c r="R11" s="233">
        <f t="shared" si="1"/>
        <v>-7.2857142857142865</v>
      </c>
      <c r="S11" s="234" t="str">
        <f t="shared" ca="1" si="2"/>
        <v>Alerta</v>
      </c>
      <c r="T11" s="787">
        <v>0.9</v>
      </c>
      <c r="U11" s="235">
        <f t="shared" si="3"/>
        <v>0.9</v>
      </c>
      <c r="V11" s="235" t="str">
        <f t="shared" ref="V11:V50" si="7">IF(R11&gt;O11,0%,IF(R11&lt;=0,"100%",1-(R11/O11)))</f>
        <v>100%</v>
      </c>
      <c r="W11" s="277" t="str">
        <f t="shared" si="5"/>
        <v>Cumple</v>
      </c>
      <c r="X11" s="788" t="s">
        <v>1978</v>
      </c>
      <c r="Y11" s="305" t="s">
        <v>1979</v>
      </c>
      <c r="Z11" s="812">
        <f t="shared" si="6"/>
        <v>0.95</v>
      </c>
      <c r="AA11" s="813">
        <v>1</v>
      </c>
      <c r="AB11" s="813">
        <v>1</v>
      </c>
      <c r="AC11" s="814">
        <f>AVERAGE(Z11:AB11)</f>
        <v>0.98333333333333339</v>
      </c>
      <c r="AD11" s="793" t="s">
        <v>3247</v>
      </c>
    </row>
    <row r="12" spans="1:30" ht="86.25" customHeight="1" x14ac:dyDescent="0.2">
      <c r="A12" s="1092"/>
      <c r="B12" s="1090"/>
      <c r="C12" s="1100"/>
      <c r="D12" s="1100"/>
      <c r="E12" s="1106"/>
      <c r="F12" s="566" t="s">
        <v>1980</v>
      </c>
      <c r="G12" s="569" t="s">
        <v>1981</v>
      </c>
      <c r="H12" s="572">
        <v>1</v>
      </c>
      <c r="I12" s="569" t="s">
        <v>1971</v>
      </c>
      <c r="J12" s="571" t="s">
        <v>865</v>
      </c>
      <c r="K12" s="571" t="s">
        <v>881</v>
      </c>
      <c r="L12" s="571" t="s">
        <v>1360</v>
      </c>
      <c r="M12" s="586">
        <v>45595</v>
      </c>
      <c r="N12" s="586">
        <v>45746</v>
      </c>
      <c r="O12" s="785">
        <f t="shared" si="4"/>
        <v>21.571428571428573</v>
      </c>
      <c r="P12" s="798">
        <v>45695</v>
      </c>
      <c r="Q12" s="798">
        <f t="shared" ref="Q12:Q50" si="8">P12</f>
        <v>45695</v>
      </c>
      <c r="R12" s="233">
        <f t="shared" si="1"/>
        <v>-7.2857142857142865</v>
      </c>
      <c r="S12" s="234" t="str">
        <f t="shared" ca="1" si="2"/>
        <v>Alerta</v>
      </c>
      <c r="T12" s="787">
        <v>0.5</v>
      </c>
      <c r="U12" s="235">
        <f t="shared" si="3"/>
        <v>0.5</v>
      </c>
      <c r="V12" s="235" t="str">
        <f t="shared" si="7"/>
        <v>100%</v>
      </c>
      <c r="W12" s="277" t="str">
        <f t="shared" si="5"/>
        <v>Cumple</v>
      </c>
      <c r="X12" s="788" t="s">
        <v>1982</v>
      </c>
      <c r="Y12" s="305" t="s">
        <v>1983</v>
      </c>
      <c r="Z12" s="812">
        <f t="shared" si="6"/>
        <v>0.75</v>
      </c>
      <c r="AA12" s="813"/>
      <c r="AB12" s="813"/>
      <c r="AC12" s="814"/>
      <c r="AD12" s="793"/>
    </row>
    <row r="13" spans="1:30" ht="63" x14ac:dyDescent="0.2">
      <c r="A13" s="326" t="s">
        <v>202</v>
      </c>
      <c r="B13" s="327" t="s">
        <v>53</v>
      </c>
      <c r="C13" s="567" t="s">
        <v>1984</v>
      </c>
      <c r="D13" s="568" t="s">
        <v>1985</v>
      </c>
      <c r="E13" s="568" t="s">
        <v>1986</v>
      </c>
      <c r="F13" s="568" t="s">
        <v>1987</v>
      </c>
      <c r="G13" s="568" t="s">
        <v>1988</v>
      </c>
      <c r="H13" s="570">
        <v>1</v>
      </c>
      <c r="I13" s="568" t="s">
        <v>1971</v>
      </c>
      <c r="J13" s="573" t="s">
        <v>865</v>
      </c>
      <c r="K13" s="573" t="s">
        <v>881</v>
      </c>
      <c r="L13" s="573" t="s">
        <v>1989</v>
      </c>
      <c r="M13" s="577">
        <v>45595</v>
      </c>
      <c r="N13" s="809">
        <v>45959</v>
      </c>
      <c r="O13" s="785">
        <f t="shared" si="4"/>
        <v>52</v>
      </c>
      <c r="P13" s="798">
        <v>45695</v>
      </c>
      <c r="Q13" s="798">
        <f t="shared" si="8"/>
        <v>45695</v>
      </c>
      <c r="R13" s="233">
        <f t="shared" si="1"/>
        <v>-37.714285714285715</v>
      </c>
      <c r="S13" s="234" t="str">
        <f t="shared" ca="1" si="2"/>
        <v>En tiempo</v>
      </c>
      <c r="T13" s="787">
        <v>0</v>
      </c>
      <c r="U13" s="235">
        <f t="shared" si="3"/>
        <v>0</v>
      </c>
      <c r="V13" s="235" t="str">
        <f t="shared" si="7"/>
        <v>100%</v>
      </c>
      <c r="W13" s="277" t="str">
        <f>IF(Q13&lt;=N13,"Cumple","Incumple")</f>
        <v>Cumple</v>
      </c>
      <c r="X13" s="788" t="s">
        <v>1547</v>
      </c>
      <c r="Y13" s="305" t="s">
        <v>1990</v>
      </c>
      <c r="Z13" s="812">
        <f t="shared" si="6"/>
        <v>0.5</v>
      </c>
      <c r="AA13" s="813"/>
      <c r="AB13" s="813"/>
      <c r="AC13" s="814"/>
      <c r="AD13" s="793"/>
    </row>
    <row r="14" spans="1:30" ht="87.75" customHeight="1" x14ac:dyDescent="0.2">
      <c r="A14" s="1091" t="s">
        <v>202</v>
      </c>
      <c r="B14" s="1089" t="s">
        <v>53</v>
      </c>
      <c r="C14" s="1103" t="s">
        <v>1991</v>
      </c>
      <c r="D14" s="1103" t="s">
        <v>1992</v>
      </c>
      <c r="E14" s="1119" t="s">
        <v>1993</v>
      </c>
      <c r="F14" s="568" t="s">
        <v>1994</v>
      </c>
      <c r="G14" s="568" t="s">
        <v>1995</v>
      </c>
      <c r="H14" s="573">
        <v>1</v>
      </c>
      <c r="I14" s="568" t="s">
        <v>1955</v>
      </c>
      <c r="J14" s="573" t="s">
        <v>87</v>
      </c>
      <c r="K14" s="573" t="s">
        <v>881</v>
      </c>
      <c r="L14" s="573" t="s">
        <v>1996</v>
      </c>
      <c r="M14" s="577">
        <v>45595</v>
      </c>
      <c r="N14" s="810">
        <v>45747</v>
      </c>
      <c r="O14" s="785">
        <f t="shared" si="4"/>
        <v>21.714285714285715</v>
      </c>
      <c r="P14" s="798">
        <v>45695</v>
      </c>
      <c r="Q14" s="798">
        <f t="shared" si="8"/>
        <v>45695</v>
      </c>
      <c r="R14" s="233">
        <f t="shared" si="1"/>
        <v>-7.4285714285714288</v>
      </c>
      <c r="S14" s="234" t="str">
        <f t="shared" ca="1" si="2"/>
        <v>Alerta</v>
      </c>
      <c r="T14" s="787">
        <v>1</v>
      </c>
      <c r="U14" s="235">
        <f t="shared" si="3"/>
        <v>1</v>
      </c>
      <c r="V14" s="235" t="str">
        <f t="shared" si="7"/>
        <v>100%</v>
      </c>
      <c r="W14" s="277" t="str">
        <f t="shared" si="5"/>
        <v>Cumple</v>
      </c>
      <c r="X14" s="788" t="s">
        <v>1997</v>
      </c>
      <c r="Y14" s="305" t="s">
        <v>1998</v>
      </c>
      <c r="Z14" s="812">
        <f t="shared" si="6"/>
        <v>1</v>
      </c>
      <c r="AA14" s="813">
        <v>1</v>
      </c>
      <c r="AB14" s="813">
        <v>1</v>
      </c>
      <c r="AC14" s="815">
        <f>AVERAGE(Z14:AB14)</f>
        <v>1</v>
      </c>
      <c r="AD14" s="793" t="s">
        <v>1999</v>
      </c>
    </row>
    <row r="15" spans="1:30" ht="134.25" customHeight="1" x14ac:dyDescent="0.2">
      <c r="A15" s="1097"/>
      <c r="B15" s="1098"/>
      <c r="C15" s="1099"/>
      <c r="D15" s="1099"/>
      <c r="E15" s="1101"/>
      <c r="F15" s="569" t="s">
        <v>2000</v>
      </c>
      <c r="G15" s="569" t="s">
        <v>2001</v>
      </c>
      <c r="H15" s="572">
        <v>1</v>
      </c>
      <c r="I15" s="569" t="s">
        <v>1955</v>
      </c>
      <c r="J15" s="571" t="s">
        <v>865</v>
      </c>
      <c r="K15" s="571" t="s">
        <v>881</v>
      </c>
      <c r="L15" s="571" t="s">
        <v>2002</v>
      </c>
      <c r="M15" s="586">
        <v>45595</v>
      </c>
      <c r="N15" s="574">
        <v>45747</v>
      </c>
      <c r="O15" s="785">
        <f t="shared" si="4"/>
        <v>21.714285714285715</v>
      </c>
      <c r="P15" s="798">
        <v>45695</v>
      </c>
      <c r="Q15" s="798">
        <v>45695</v>
      </c>
      <c r="R15" s="233">
        <f t="shared" si="1"/>
        <v>-7.4285714285714288</v>
      </c>
      <c r="S15" s="234" t="str">
        <f t="shared" ca="1" si="2"/>
        <v>Alerta</v>
      </c>
      <c r="T15" s="787">
        <v>1</v>
      </c>
      <c r="U15" s="235">
        <f t="shared" si="3"/>
        <v>1</v>
      </c>
      <c r="V15" s="235" t="str">
        <f t="shared" si="7"/>
        <v>100%</v>
      </c>
      <c r="W15" s="277" t="str">
        <f t="shared" si="5"/>
        <v>Cumple</v>
      </c>
      <c r="X15" s="788" t="s">
        <v>2003</v>
      </c>
      <c r="Y15" s="305" t="s">
        <v>2004</v>
      </c>
      <c r="Z15" s="812">
        <f t="shared" si="6"/>
        <v>1</v>
      </c>
      <c r="AA15" s="813">
        <v>1</v>
      </c>
      <c r="AB15" s="813">
        <v>1</v>
      </c>
      <c r="AC15" s="815">
        <f>AVERAGE(Z15:AB15)</f>
        <v>1</v>
      </c>
      <c r="AD15" s="793" t="s">
        <v>2005</v>
      </c>
    </row>
    <row r="16" spans="1:30" ht="180" customHeight="1" x14ac:dyDescent="0.2">
      <c r="A16" s="1097"/>
      <c r="B16" s="1098"/>
      <c r="C16" s="1099"/>
      <c r="D16" s="1099"/>
      <c r="E16" s="1101"/>
      <c r="F16" s="569" t="s">
        <v>2006</v>
      </c>
      <c r="G16" s="569" t="s">
        <v>2007</v>
      </c>
      <c r="H16" s="572">
        <v>1</v>
      </c>
      <c r="I16" s="569" t="s">
        <v>1955</v>
      </c>
      <c r="J16" s="571" t="s">
        <v>87</v>
      </c>
      <c r="K16" s="571" t="s">
        <v>881</v>
      </c>
      <c r="L16" s="571" t="s">
        <v>2008</v>
      </c>
      <c r="M16" s="586">
        <v>45595</v>
      </c>
      <c r="N16" s="574">
        <v>45747</v>
      </c>
      <c r="O16" s="785">
        <f t="shared" si="4"/>
        <v>21.714285714285715</v>
      </c>
      <c r="P16" s="798">
        <v>45695</v>
      </c>
      <c r="Q16" s="798">
        <f t="shared" si="8"/>
        <v>45695</v>
      </c>
      <c r="R16" s="233">
        <f t="shared" si="1"/>
        <v>-7.4285714285714288</v>
      </c>
      <c r="S16" s="234" t="str">
        <f t="shared" ca="1" si="2"/>
        <v>Alerta</v>
      </c>
      <c r="T16" s="787">
        <v>1</v>
      </c>
      <c r="U16" s="235">
        <f t="shared" si="3"/>
        <v>1</v>
      </c>
      <c r="V16" s="235" t="str">
        <f t="shared" si="7"/>
        <v>100%</v>
      </c>
      <c r="W16" s="277" t="str">
        <f t="shared" si="5"/>
        <v>Cumple</v>
      </c>
      <c r="X16" s="788" t="s">
        <v>2009</v>
      </c>
      <c r="Y16" s="305" t="s">
        <v>2010</v>
      </c>
      <c r="Z16" s="812">
        <f t="shared" si="6"/>
        <v>1</v>
      </c>
      <c r="AA16" s="813">
        <v>1</v>
      </c>
      <c r="AB16" s="813">
        <v>1</v>
      </c>
      <c r="AC16" s="815">
        <f>AVERAGE(Z16:AB16)</f>
        <v>1</v>
      </c>
      <c r="AD16" s="793" t="s">
        <v>2011</v>
      </c>
    </row>
    <row r="17" spans="1:30" ht="35.25" customHeight="1" x14ac:dyDescent="0.2">
      <c r="A17" s="1092"/>
      <c r="B17" s="1090"/>
      <c r="C17" s="1100"/>
      <c r="D17" s="1100"/>
      <c r="E17" s="1102"/>
      <c r="F17" s="569" t="s">
        <v>2012</v>
      </c>
      <c r="G17" s="569" t="s">
        <v>2013</v>
      </c>
      <c r="H17" s="571">
        <v>1</v>
      </c>
      <c r="I17" s="569" t="s">
        <v>1955</v>
      </c>
      <c r="J17" s="571" t="s">
        <v>87</v>
      </c>
      <c r="K17" s="571" t="s">
        <v>881</v>
      </c>
      <c r="L17" s="571" t="s">
        <v>2014</v>
      </c>
      <c r="M17" s="586">
        <v>45595</v>
      </c>
      <c r="N17" s="574">
        <v>45747</v>
      </c>
      <c r="O17" s="785">
        <f t="shared" si="4"/>
        <v>21.714285714285715</v>
      </c>
      <c r="P17" s="798">
        <v>45695</v>
      </c>
      <c r="Q17" s="798">
        <f t="shared" si="8"/>
        <v>45695</v>
      </c>
      <c r="R17" s="233">
        <f t="shared" si="1"/>
        <v>-7.4285714285714288</v>
      </c>
      <c r="S17" s="234" t="str">
        <f t="shared" ca="1" si="2"/>
        <v>Alerta</v>
      </c>
      <c r="T17" s="787">
        <v>0</v>
      </c>
      <c r="U17" s="235">
        <f t="shared" si="3"/>
        <v>0</v>
      </c>
      <c r="V17" s="235" t="str">
        <f t="shared" si="7"/>
        <v>100%</v>
      </c>
      <c r="W17" s="277" t="str">
        <f t="shared" si="5"/>
        <v>Cumple</v>
      </c>
      <c r="X17" s="788" t="s">
        <v>1651</v>
      </c>
      <c r="Y17" s="788" t="s">
        <v>1651</v>
      </c>
      <c r="Z17" s="812">
        <f t="shared" si="6"/>
        <v>0.5</v>
      </c>
      <c r="AA17" s="813"/>
      <c r="AB17" s="813"/>
      <c r="AC17" s="814"/>
      <c r="AD17" s="793"/>
    </row>
    <row r="18" spans="1:30" ht="164.25" customHeight="1" x14ac:dyDescent="0.2">
      <c r="A18" s="1091" t="s">
        <v>202</v>
      </c>
      <c r="B18" s="1089" t="s">
        <v>53</v>
      </c>
      <c r="C18" s="1104" t="s">
        <v>2015</v>
      </c>
      <c r="D18" s="1104" t="s">
        <v>2016</v>
      </c>
      <c r="E18" s="1104" t="s">
        <v>2017</v>
      </c>
      <c r="F18" s="575" t="s">
        <v>2018</v>
      </c>
      <c r="G18" s="575" t="s">
        <v>1536</v>
      </c>
      <c r="H18" s="570">
        <v>1</v>
      </c>
      <c r="I18" s="575" t="s">
        <v>1971</v>
      </c>
      <c r="J18" s="573" t="s">
        <v>865</v>
      </c>
      <c r="K18" s="573" t="s">
        <v>881</v>
      </c>
      <c r="L18" s="573" t="s">
        <v>2019</v>
      </c>
      <c r="M18" s="577">
        <v>45595</v>
      </c>
      <c r="N18" s="577">
        <v>45747</v>
      </c>
      <c r="O18" s="785">
        <f t="shared" si="4"/>
        <v>21.714285714285715</v>
      </c>
      <c r="P18" s="798">
        <v>45695</v>
      </c>
      <c r="Q18" s="798">
        <f t="shared" si="8"/>
        <v>45695</v>
      </c>
      <c r="R18" s="233">
        <f t="shared" si="1"/>
        <v>-7.4285714285714288</v>
      </c>
      <c r="S18" s="234" t="str">
        <f t="shared" ca="1" si="2"/>
        <v>Alerta</v>
      </c>
      <c r="T18" s="787">
        <v>1</v>
      </c>
      <c r="U18" s="235">
        <f t="shared" si="3"/>
        <v>1</v>
      </c>
      <c r="V18" s="235" t="str">
        <f t="shared" si="7"/>
        <v>100%</v>
      </c>
      <c r="W18" s="277" t="str">
        <f t="shared" si="5"/>
        <v>Cumple</v>
      </c>
      <c r="X18" s="788" t="s">
        <v>2020</v>
      </c>
      <c r="Y18" s="305" t="s">
        <v>2021</v>
      </c>
      <c r="Z18" s="812">
        <f t="shared" si="6"/>
        <v>1</v>
      </c>
      <c r="AA18" s="813">
        <v>1</v>
      </c>
      <c r="AB18" s="813">
        <v>1</v>
      </c>
      <c r="AC18" s="814">
        <f>AVERAGE(Z18:AB18)</f>
        <v>1</v>
      </c>
      <c r="AD18" s="793" t="s">
        <v>2022</v>
      </c>
    </row>
    <row r="19" spans="1:30" ht="150.75" customHeight="1" x14ac:dyDescent="0.2">
      <c r="A19" s="1097"/>
      <c r="B19" s="1098"/>
      <c r="C19" s="1105"/>
      <c r="D19" s="1105"/>
      <c r="E19" s="1105"/>
      <c r="F19" s="576" t="s">
        <v>2023</v>
      </c>
      <c r="G19" s="576" t="s">
        <v>2024</v>
      </c>
      <c r="H19" s="571">
        <v>17</v>
      </c>
      <c r="I19" s="576" t="s">
        <v>1971</v>
      </c>
      <c r="J19" s="571" t="s">
        <v>865</v>
      </c>
      <c r="K19" s="571" t="s">
        <v>881</v>
      </c>
      <c r="L19" s="571" t="s">
        <v>2025</v>
      </c>
      <c r="M19" s="586">
        <v>45595</v>
      </c>
      <c r="N19" s="586">
        <v>45747</v>
      </c>
      <c r="O19" s="785">
        <f t="shared" si="4"/>
        <v>21.714285714285715</v>
      </c>
      <c r="P19" s="798">
        <v>45695</v>
      </c>
      <c r="Q19" s="798">
        <f t="shared" si="8"/>
        <v>45695</v>
      </c>
      <c r="R19" s="233">
        <f t="shared" si="1"/>
        <v>-7.4285714285714288</v>
      </c>
      <c r="S19" s="234" t="str">
        <f t="shared" ca="1" si="2"/>
        <v>Alerta</v>
      </c>
      <c r="T19" s="787">
        <v>0.15</v>
      </c>
      <c r="U19" s="235">
        <f t="shared" si="3"/>
        <v>8.8235294117647058E-3</v>
      </c>
      <c r="V19" s="235" t="str">
        <f t="shared" si="7"/>
        <v>100%</v>
      </c>
      <c r="W19" s="277" t="str">
        <f t="shared" si="5"/>
        <v>Cumple</v>
      </c>
      <c r="X19" s="811" t="s">
        <v>2026</v>
      </c>
      <c r="Y19" s="305" t="s">
        <v>2027</v>
      </c>
      <c r="Z19" s="812">
        <f t="shared" si="6"/>
        <v>0.50441176470588234</v>
      </c>
      <c r="AA19" s="813"/>
      <c r="AB19" s="813"/>
      <c r="AC19" s="814"/>
      <c r="AD19" s="793"/>
    </row>
    <row r="20" spans="1:30" ht="37.5" customHeight="1" x14ac:dyDescent="0.2">
      <c r="A20" s="1097"/>
      <c r="B20" s="1098"/>
      <c r="C20" s="1105"/>
      <c r="D20" s="1105"/>
      <c r="E20" s="1105"/>
      <c r="F20" s="576" t="s">
        <v>2028</v>
      </c>
      <c r="G20" s="576" t="s">
        <v>2029</v>
      </c>
      <c r="H20" s="571">
        <v>17</v>
      </c>
      <c r="I20" s="576" t="s">
        <v>1971</v>
      </c>
      <c r="J20" s="571" t="s">
        <v>865</v>
      </c>
      <c r="K20" s="571" t="s">
        <v>881</v>
      </c>
      <c r="L20" s="571" t="s">
        <v>1360</v>
      </c>
      <c r="M20" s="586">
        <v>45595</v>
      </c>
      <c r="N20" s="586">
        <v>45747</v>
      </c>
      <c r="O20" s="785">
        <f t="shared" si="4"/>
        <v>21.714285714285715</v>
      </c>
      <c r="P20" s="798">
        <v>45695</v>
      </c>
      <c r="Q20" s="798">
        <f t="shared" si="8"/>
        <v>45695</v>
      </c>
      <c r="R20" s="233">
        <f t="shared" si="1"/>
        <v>-7.4285714285714288</v>
      </c>
      <c r="S20" s="234" t="str">
        <f t="shared" ca="1" si="2"/>
        <v>Alerta</v>
      </c>
      <c r="T20" s="787"/>
      <c r="U20" s="235">
        <f t="shared" si="3"/>
        <v>0</v>
      </c>
      <c r="V20" s="235" t="str">
        <f t="shared" si="7"/>
        <v>100%</v>
      </c>
      <c r="W20" s="277" t="str">
        <f t="shared" si="5"/>
        <v>Cumple</v>
      </c>
      <c r="X20" s="788" t="s">
        <v>2030</v>
      </c>
      <c r="Y20" s="305" t="s">
        <v>2030</v>
      </c>
      <c r="Z20" s="812">
        <f t="shared" si="6"/>
        <v>0.5</v>
      </c>
      <c r="AA20" s="813"/>
      <c r="AB20" s="813"/>
      <c r="AC20" s="814"/>
      <c r="AD20" s="793"/>
    </row>
    <row r="21" spans="1:30" ht="37.5" customHeight="1" x14ac:dyDescent="0.2">
      <c r="A21" s="1092"/>
      <c r="B21" s="1090"/>
      <c r="C21" s="1106"/>
      <c r="D21" s="1106"/>
      <c r="E21" s="1106"/>
      <c r="F21" s="576" t="s">
        <v>2031</v>
      </c>
      <c r="G21" s="576" t="s">
        <v>2032</v>
      </c>
      <c r="H21" s="571">
        <v>17</v>
      </c>
      <c r="I21" s="576" t="s">
        <v>1971</v>
      </c>
      <c r="J21" s="571" t="s">
        <v>865</v>
      </c>
      <c r="K21" s="571" t="s">
        <v>881</v>
      </c>
      <c r="L21" s="571" t="s">
        <v>2033</v>
      </c>
      <c r="M21" s="586">
        <v>45595</v>
      </c>
      <c r="N21" s="586">
        <v>45747</v>
      </c>
      <c r="O21" s="785">
        <f t="shared" si="4"/>
        <v>21.714285714285715</v>
      </c>
      <c r="P21" s="798">
        <v>45695</v>
      </c>
      <c r="Q21" s="798">
        <f t="shared" si="8"/>
        <v>45695</v>
      </c>
      <c r="R21" s="233">
        <f t="shared" si="1"/>
        <v>-7.4285714285714288</v>
      </c>
      <c r="S21" s="234" t="str">
        <f t="shared" ca="1" si="2"/>
        <v>Alerta</v>
      </c>
      <c r="T21" s="787"/>
      <c r="U21" s="235">
        <f t="shared" si="3"/>
        <v>0</v>
      </c>
      <c r="V21" s="235" t="str">
        <f t="shared" si="7"/>
        <v>100%</v>
      </c>
      <c r="W21" s="277" t="str">
        <f t="shared" si="5"/>
        <v>Cumple</v>
      </c>
      <c r="X21" s="788" t="s">
        <v>2030</v>
      </c>
      <c r="Y21" s="305" t="s">
        <v>2030</v>
      </c>
      <c r="Z21" s="812">
        <f t="shared" si="6"/>
        <v>0.5</v>
      </c>
      <c r="AA21" s="813"/>
      <c r="AB21" s="813"/>
      <c r="AC21" s="814"/>
      <c r="AD21" s="793"/>
    </row>
    <row r="22" spans="1:30" ht="141" customHeight="1" x14ac:dyDescent="0.2">
      <c r="A22" s="1091" t="s">
        <v>202</v>
      </c>
      <c r="B22" s="1089" t="s">
        <v>53</v>
      </c>
      <c r="C22" s="1103" t="s">
        <v>2034</v>
      </c>
      <c r="D22" s="1103" t="s">
        <v>2035</v>
      </c>
      <c r="E22" s="1103" t="s">
        <v>2036</v>
      </c>
      <c r="F22" s="568" t="s">
        <v>2037</v>
      </c>
      <c r="G22" s="568" t="s">
        <v>2038</v>
      </c>
      <c r="H22" s="573">
        <v>1</v>
      </c>
      <c r="I22" s="568" t="s">
        <v>2039</v>
      </c>
      <c r="J22" s="573" t="s">
        <v>865</v>
      </c>
      <c r="K22" s="573" t="s">
        <v>881</v>
      </c>
      <c r="L22" s="573" t="s">
        <v>2040</v>
      </c>
      <c r="M22" s="577">
        <v>45595</v>
      </c>
      <c r="N22" s="577">
        <v>45747</v>
      </c>
      <c r="O22" s="785">
        <f t="shared" si="4"/>
        <v>21.714285714285715</v>
      </c>
      <c r="P22" s="798">
        <v>45695</v>
      </c>
      <c r="Q22" s="798">
        <f t="shared" si="8"/>
        <v>45695</v>
      </c>
      <c r="R22" s="233">
        <f t="shared" si="1"/>
        <v>-7.4285714285714288</v>
      </c>
      <c r="S22" s="234" t="str">
        <f t="shared" ca="1" si="2"/>
        <v>Alerta</v>
      </c>
      <c r="T22" s="787">
        <v>0.9</v>
      </c>
      <c r="U22" s="235">
        <f t="shared" si="3"/>
        <v>0.9</v>
      </c>
      <c r="V22" s="235" t="str">
        <f t="shared" si="7"/>
        <v>100%</v>
      </c>
      <c r="W22" s="277" t="str">
        <f t="shared" si="5"/>
        <v>Cumple</v>
      </c>
      <c r="X22" s="788" t="s">
        <v>2041</v>
      </c>
      <c r="Y22" s="305" t="s">
        <v>2042</v>
      </c>
      <c r="Z22" s="812">
        <f t="shared" si="6"/>
        <v>0.95</v>
      </c>
      <c r="AA22" s="813">
        <v>0.8</v>
      </c>
      <c r="AB22" s="813">
        <v>0.8</v>
      </c>
      <c r="AC22" s="814">
        <f>AVERAGE(Z22:AB22)</f>
        <v>0.85</v>
      </c>
      <c r="AD22" s="793" t="s">
        <v>2043</v>
      </c>
    </row>
    <row r="23" spans="1:30" ht="147.75" customHeight="1" x14ac:dyDescent="0.2">
      <c r="A23" s="1097"/>
      <c r="B23" s="1098"/>
      <c r="C23" s="1099"/>
      <c r="D23" s="1099"/>
      <c r="E23" s="1099"/>
      <c r="F23" s="569" t="s">
        <v>2044</v>
      </c>
      <c r="G23" s="569" t="s">
        <v>168</v>
      </c>
      <c r="H23" s="572">
        <v>1</v>
      </c>
      <c r="I23" s="569" t="s">
        <v>2039</v>
      </c>
      <c r="J23" s="571" t="s">
        <v>865</v>
      </c>
      <c r="K23" s="571" t="s">
        <v>881</v>
      </c>
      <c r="L23" s="571" t="s">
        <v>2045</v>
      </c>
      <c r="M23" s="586">
        <v>45595</v>
      </c>
      <c r="N23" s="586">
        <v>45747</v>
      </c>
      <c r="O23" s="785">
        <f t="shared" si="4"/>
        <v>21.714285714285715</v>
      </c>
      <c r="P23" s="798">
        <v>45695</v>
      </c>
      <c r="Q23" s="798">
        <f t="shared" si="8"/>
        <v>45695</v>
      </c>
      <c r="R23" s="233">
        <f t="shared" si="1"/>
        <v>-7.4285714285714288</v>
      </c>
      <c r="S23" s="234" t="str">
        <f t="shared" ca="1" si="2"/>
        <v>Alerta</v>
      </c>
      <c r="T23" s="787">
        <v>0.9</v>
      </c>
      <c r="U23" s="235">
        <f t="shared" si="3"/>
        <v>0.9</v>
      </c>
      <c r="V23" s="235" t="str">
        <f t="shared" si="7"/>
        <v>100%</v>
      </c>
      <c r="W23" s="277" t="str">
        <f t="shared" si="5"/>
        <v>Cumple</v>
      </c>
      <c r="X23" s="788" t="s">
        <v>2046</v>
      </c>
      <c r="Y23" s="305" t="s">
        <v>2047</v>
      </c>
      <c r="Z23" s="812">
        <f t="shared" si="6"/>
        <v>0.95</v>
      </c>
      <c r="AA23" s="813">
        <v>0.9</v>
      </c>
      <c r="AB23" s="813">
        <v>0.9</v>
      </c>
      <c r="AC23" s="814">
        <f>AVERAGE(Z23:AB23)</f>
        <v>0.91666666666666663</v>
      </c>
      <c r="AD23" s="793" t="s">
        <v>2048</v>
      </c>
    </row>
    <row r="24" spans="1:30" ht="38.25" customHeight="1" x14ac:dyDescent="0.2">
      <c r="A24" s="1092"/>
      <c r="B24" s="1090"/>
      <c r="C24" s="1100"/>
      <c r="D24" s="1100"/>
      <c r="E24" s="1100"/>
      <c r="F24" s="569" t="s">
        <v>2049</v>
      </c>
      <c r="G24" s="569" t="s">
        <v>2050</v>
      </c>
      <c r="H24" s="572">
        <v>1</v>
      </c>
      <c r="I24" s="569" t="s">
        <v>2039</v>
      </c>
      <c r="J24" s="571" t="s">
        <v>865</v>
      </c>
      <c r="K24" s="571" t="s">
        <v>881</v>
      </c>
      <c r="L24" s="571" t="s">
        <v>2051</v>
      </c>
      <c r="M24" s="586">
        <v>45595</v>
      </c>
      <c r="N24" s="586">
        <v>45747</v>
      </c>
      <c r="O24" s="785">
        <f t="shared" si="4"/>
        <v>21.714285714285715</v>
      </c>
      <c r="P24" s="798">
        <v>45695</v>
      </c>
      <c r="Q24" s="798">
        <f t="shared" si="8"/>
        <v>45695</v>
      </c>
      <c r="R24" s="233">
        <f t="shared" si="1"/>
        <v>-7.4285714285714288</v>
      </c>
      <c r="S24" s="234" t="str">
        <f t="shared" ca="1" si="2"/>
        <v>Alerta</v>
      </c>
      <c r="T24" s="787"/>
      <c r="U24" s="235">
        <f t="shared" si="3"/>
        <v>0</v>
      </c>
      <c r="V24" s="235" t="str">
        <f t="shared" si="7"/>
        <v>100%</v>
      </c>
      <c r="W24" s="277" t="str">
        <f t="shared" si="5"/>
        <v>Cumple</v>
      </c>
      <c r="X24" s="788" t="s">
        <v>1651</v>
      </c>
      <c r="Y24" s="788" t="s">
        <v>1651</v>
      </c>
      <c r="Z24" s="812">
        <f t="shared" si="6"/>
        <v>0.5</v>
      </c>
      <c r="AA24" s="813"/>
      <c r="AB24" s="813"/>
      <c r="AC24" s="814"/>
      <c r="AD24" s="793"/>
    </row>
    <row r="25" spans="1:30" ht="54" customHeight="1" x14ac:dyDescent="0.2">
      <c r="A25" s="326" t="s">
        <v>202</v>
      </c>
      <c r="B25" s="327" t="s">
        <v>53</v>
      </c>
      <c r="C25" s="567" t="s">
        <v>2052</v>
      </c>
      <c r="D25" s="568" t="s">
        <v>2053</v>
      </c>
      <c r="E25" s="568" t="s">
        <v>2054</v>
      </c>
      <c r="F25" s="568" t="s">
        <v>2055</v>
      </c>
      <c r="G25" s="568" t="s">
        <v>2056</v>
      </c>
      <c r="H25" s="570">
        <v>1</v>
      </c>
      <c r="I25" s="568" t="s">
        <v>2039</v>
      </c>
      <c r="J25" s="573" t="s">
        <v>865</v>
      </c>
      <c r="K25" s="573" t="s">
        <v>881</v>
      </c>
      <c r="L25" s="573" t="s">
        <v>2057</v>
      </c>
      <c r="M25" s="577">
        <v>45595</v>
      </c>
      <c r="N25" s="577">
        <v>45747</v>
      </c>
      <c r="O25" s="785">
        <f t="shared" si="4"/>
        <v>21.714285714285715</v>
      </c>
      <c r="P25" s="798">
        <v>45695</v>
      </c>
      <c r="Q25" s="798">
        <f t="shared" si="8"/>
        <v>45695</v>
      </c>
      <c r="R25" s="233">
        <f t="shared" si="1"/>
        <v>-7.4285714285714288</v>
      </c>
      <c r="S25" s="234" t="str">
        <f t="shared" ca="1" si="2"/>
        <v>Alerta</v>
      </c>
      <c r="T25" s="787"/>
      <c r="U25" s="235">
        <f t="shared" si="3"/>
        <v>0</v>
      </c>
      <c r="V25" s="235" t="str">
        <f t="shared" si="7"/>
        <v>100%</v>
      </c>
      <c r="W25" s="277" t="str">
        <f t="shared" si="5"/>
        <v>Cumple</v>
      </c>
      <c r="X25" s="788" t="s">
        <v>1651</v>
      </c>
      <c r="Y25" s="788" t="s">
        <v>1651</v>
      </c>
      <c r="Z25" s="812">
        <f t="shared" si="6"/>
        <v>0.5</v>
      </c>
      <c r="AA25" s="813"/>
      <c r="AB25" s="813"/>
      <c r="AC25" s="814"/>
      <c r="AD25" s="793"/>
    </row>
    <row r="26" spans="1:30" ht="39" customHeight="1" x14ac:dyDescent="0.2">
      <c r="A26" s="1091" t="s">
        <v>202</v>
      </c>
      <c r="B26" s="1089" t="s">
        <v>53</v>
      </c>
      <c r="C26" s="1103" t="s">
        <v>2058</v>
      </c>
      <c r="D26" s="1103" t="s">
        <v>2059</v>
      </c>
      <c r="E26" s="1103" t="s">
        <v>2060</v>
      </c>
      <c r="F26" s="568" t="s">
        <v>2061</v>
      </c>
      <c r="G26" s="568" t="s">
        <v>168</v>
      </c>
      <c r="H26" s="570">
        <v>1</v>
      </c>
      <c r="I26" s="568" t="s">
        <v>1971</v>
      </c>
      <c r="J26" s="573" t="s">
        <v>865</v>
      </c>
      <c r="K26" s="573" t="s">
        <v>881</v>
      </c>
      <c r="L26" s="573" t="s">
        <v>2045</v>
      </c>
      <c r="M26" s="577">
        <v>45595</v>
      </c>
      <c r="N26" s="577">
        <v>45747</v>
      </c>
      <c r="O26" s="785">
        <f t="shared" si="4"/>
        <v>21.714285714285715</v>
      </c>
      <c r="P26" s="798">
        <v>45695</v>
      </c>
      <c r="Q26" s="798">
        <f t="shared" si="8"/>
        <v>45695</v>
      </c>
      <c r="R26" s="233">
        <f t="shared" si="1"/>
        <v>-7.4285714285714288</v>
      </c>
      <c r="S26" s="234" t="str">
        <f t="shared" ca="1" si="2"/>
        <v>Alerta</v>
      </c>
      <c r="T26" s="787"/>
      <c r="U26" s="235">
        <f t="shared" si="3"/>
        <v>0</v>
      </c>
      <c r="V26" s="235" t="str">
        <f t="shared" si="7"/>
        <v>100%</v>
      </c>
      <c r="W26" s="277" t="str">
        <f t="shared" si="5"/>
        <v>Cumple</v>
      </c>
      <c r="X26" s="788" t="s">
        <v>1651</v>
      </c>
      <c r="Y26" s="788" t="s">
        <v>1651</v>
      </c>
      <c r="Z26" s="812">
        <f t="shared" si="6"/>
        <v>0.5</v>
      </c>
      <c r="AA26" s="813"/>
      <c r="AB26" s="813"/>
      <c r="AC26" s="814"/>
      <c r="AD26" s="793"/>
    </row>
    <row r="27" spans="1:30" ht="45.75" customHeight="1" x14ac:dyDescent="0.2">
      <c r="A27" s="1097"/>
      <c r="B27" s="1098"/>
      <c r="C27" s="1099"/>
      <c r="D27" s="1099"/>
      <c r="E27" s="1099"/>
      <c r="F27" s="569" t="s">
        <v>2062</v>
      </c>
      <c r="G27" s="569" t="s">
        <v>2063</v>
      </c>
      <c r="H27" s="572">
        <v>1</v>
      </c>
      <c r="I27" s="569" t="s">
        <v>2064</v>
      </c>
      <c r="J27" s="571" t="s">
        <v>865</v>
      </c>
      <c r="K27" s="571" t="s">
        <v>881</v>
      </c>
      <c r="L27" s="571" t="s">
        <v>2065</v>
      </c>
      <c r="M27" s="586">
        <v>45595</v>
      </c>
      <c r="N27" s="586">
        <v>45747</v>
      </c>
      <c r="O27" s="785">
        <f t="shared" si="4"/>
        <v>21.714285714285715</v>
      </c>
      <c r="P27" s="798">
        <v>45695</v>
      </c>
      <c r="Q27" s="798">
        <f t="shared" si="8"/>
        <v>45695</v>
      </c>
      <c r="R27" s="233">
        <f t="shared" si="1"/>
        <v>-7.4285714285714288</v>
      </c>
      <c r="S27" s="234" t="str">
        <f t="shared" ca="1" si="2"/>
        <v>Alerta</v>
      </c>
      <c r="T27" s="787"/>
      <c r="U27" s="235">
        <f t="shared" si="3"/>
        <v>0</v>
      </c>
      <c r="V27" s="235" t="str">
        <f t="shared" si="7"/>
        <v>100%</v>
      </c>
      <c r="W27" s="277" t="str">
        <f t="shared" si="5"/>
        <v>Cumple</v>
      </c>
      <c r="X27" s="788" t="s">
        <v>1651</v>
      </c>
      <c r="Y27" s="788" t="s">
        <v>1651</v>
      </c>
      <c r="Z27" s="812">
        <f t="shared" si="6"/>
        <v>0.5</v>
      </c>
      <c r="AA27" s="813"/>
      <c r="AB27" s="813"/>
      <c r="AC27" s="814"/>
      <c r="AD27" s="793"/>
    </row>
    <row r="28" spans="1:30" ht="43.5" customHeight="1" x14ac:dyDescent="0.2">
      <c r="A28" s="1092"/>
      <c r="B28" s="1090"/>
      <c r="C28" s="1100"/>
      <c r="D28" s="1100"/>
      <c r="E28" s="1100"/>
      <c r="F28" s="569" t="s">
        <v>2066</v>
      </c>
      <c r="G28" s="569" t="s">
        <v>158</v>
      </c>
      <c r="H28" s="572">
        <v>1</v>
      </c>
      <c r="I28" s="569" t="s">
        <v>2064</v>
      </c>
      <c r="J28" s="571" t="s">
        <v>865</v>
      </c>
      <c r="K28" s="571" t="s">
        <v>881</v>
      </c>
      <c r="L28" s="571" t="s">
        <v>2067</v>
      </c>
      <c r="M28" s="586">
        <v>45595</v>
      </c>
      <c r="N28" s="586">
        <v>45959</v>
      </c>
      <c r="O28" s="785">
        <f t="shared" si="4"/>
        <v>52</v>
      </c>
      <c r="P28" s="798">
        <v>45695</v>
      </c>
      <c r="Q28" s="798">
        <f t="shared" si="8"/>
        <v>45695</v>
      </c>
      <c r="R28" s="233">
        <f t="shared" si="1"/>
        <v>-37.714285714285715</v>
      </c>
      <c r="S28" s="234" t="str">
        <f t="shared" ca="1" si="2"/>
        <v>En tiempo</v>
      </c>
      <c r="T28" s="787"/>
      <c r="U28" s="235">
        <f t="shared" si="3"/>
        <v>0</v>
      </c>
      <c r="V28" s="235" t="str">
        <f t="shared" si="7"/>
        <v>100%</v>
      </c>
      <c r="W28" s="277" t="str">
        <f t="shared" si="5"/>
        <v>Cumple</v>
      </c>
      <c r="X28" s="788" t="s">
        <v>1651</v>
      </c>
      <c r="Y28" s="788" t="s">
        <v>1651</v>
      </c>
      <c r="Z28" s="812">
        <f t="shared" si="6"/>
        <v>0.5</v>
      </c>
      <c r="AA28" s="813"/>
      <c r="AB28" s="813"/>
      <c r="AC28" s="814"/>
      <c r="AD28" s="793"/>
    </row>
    <row r="29" spans="1:30" ht="40.5" customHeight="1" x14ac:dyDescent="0.2">
      <c r="A29" s="1091" t="s">
        <v>202</v>
      </c>
      <c r="B29" s="1089" t="s">
        <v>53</v>
      </c>
      <c r="C29" s="1099" t="s">
        <v>2068</v>
      </c>
      <c r="D29" s="1099" t="s">
        <v>2069</v>
      </c>
      <c r="E29" s="1099" t="s">
        <v>2070</v>
      </c>
      <c r="F29" s="569" t="s">
        <v>2071</v>
      </c>
      <c r="G29" s="569" t="s">
        <v>1536</v>
      </c>
      <c r="H29" s="572">
        <v>1</v>
      </c>
      <c r="I29" s="569" t="s">
        <v>1971</v>
      </c>
      <c r="J29" s="571" t="s">
        <v>865</v>
      </c>
      <c r="K29" s="571" t="s">
        <v>881</v>
      </c>
      <c r="L29" s="571" t="s">
        <v>2072</v>
      </c>
      <c r="M29" s="586">
        <v>45595</v>
      </c>
      <c r="N29" s="586">
        <v>45838</v>
      </c>
      <c r="O29" s="785">
        <f t="shared" si="4"/>
        <v>34.714285714285715</v>
      </c>
      <c r="P29" s="798">
        <v>45695</v>
      </c>
      <c r="Q29" s="798">
        <f t="shared" si="8"/>
        <v>45695</v>
      </c>
      <c r="R29" s="233">
        <f t="shared" si="1"/>
        <v>-20.428571428571431</v>
      </c>
      <c r="S29" s="234" t="str">
        <f t="shared" ca="1" si="2"/>
        <v>En tiempo</v>
      </c>
      <c r="T29" s="787"/>
      <c r="U29" s="235">
        <f t="shared" si="3"/>
        <v>0</v>
      </c>
      <c r="V29" s="235" t="str">
        <f t="shared" si="7"/>
        <v>100%</v>
      </c>
      <c r="W29" s="277" t="str">
        <f t="shared" si="5"/>
        <v>Cumple</v>
      </c>
      <c r="X29" s="788" t="s">
        <v>1651</v>
      </c>
      <c r="Y29" s="788" t="s">
        <v>1651</v>
      </c>
      <c r="Z29" s="812">
        <f t="shared" si="6"/>
        <v>0.5</v>
      </c>
      <c r="AA29" s="813"/>
      <c r="AB29" s="813"/>
      <c r="AC29" s="814"/>
      <c r="AD29" s="793"/>
    </row>
    <row r="30" spans="1:30" ht="35.25" customHeight="1" x14ac:dyDescent="0.2">
      <c r="A30" s="1097"/>
      <c r="B30" s="1098"/>
      <c r="C30" s="1099"/>
      <c r="D30" s="1099"/>
      <c r="E30" s="1099"/>
      <c r="F30" s="569" t="s">
        <v>2073</v>
      </c>
      <c r="G30" s="569" t="s">
        <v>2074</v>
      </c>
      <c r="H30" s="571">
        <v>1</v>
      </c>
      <c r="I30" s="569" t="s">
        <v>2039</v>
      </c>
      <c r="J30" s="571" t="s">
        <v>865</v>
      </c>
      <c r="K30" s="571" t="s">
        <v>881</v>
      </c>
      <c r="L30" s="571" t="s">
        <v>2075</v>
      </c>
      <c r="M30" s="586">
        <v>45595</v>
      </c>
      <c r="N30" s="586">
        <v>45838</v>
      </c>
      <c r="O30" s="785">
        <f t="shared" si="4"/>
        <v>34.714285714285715</v>
      </c>
      <c r="P30" s="798">
        <v>45695</v>
      </c>
      <c r="Q30" s="798">
        <f t="shared" si="8"/>
        <v>45695</v>
      </c>
      <c r="R30" s="233">
        <f t="shared" si="1"/>
        <v>-20.428571428571431</v>
      </c>
      <c r="S30" s="234" t="str">
        <f t="shared" ca="1" si="2"/>
        <v>En tiempo</v>
      </c>
      <c r="T30" s="787"/>
      <c r="U30" s="235">
        <f t="shared" si="3"/>
        <v>0</v>
      </c>
      <c r="V30" s="235" t="str">
        <f t="shared" si="7"/>
        <v>100%</v>
      </c>
      <c r="W30" s="277" t="str">
        <f t="shared" si="5"/>
        <v>Cumple</v>
      </c>
      <c r="X30" s="788" t="s">
        <v>1651</v>
      </c>
      <c r="Y30" s="788" t="s">
        <v>1651</v>
      </c>
      <c r="Z30" s="812">
        <f t="shared" si="6"/>
        <v>0.5</v>
      </c>
      <c r="AA30" s="813"/>
      <c r="AB30" s="813"/>
      <c r="AC30" s="814"/>
      <c r="AD30" s="793"/>
    </row>
    <row r="31" spans="1:30" ht="30.75" customHeight="1" x14ac:dyDescent="0.2">
      <c r="A31" s="1092"/>
      <c r="B31" s="1090"/>
      <c r="C31" s="1100"/>
      <c r="D31" s="1100"/>
      <c r="E31" s="1100"/>
      <c r="F31" s="569" t="s">
        <v>2076</v>
      </c>
      <c r="G31" s="569" t="s">
        <v>2077</v>
      </c>
      <c r="H31" s="572">
        <v>1</v>
      </c>
      <c r="I31" s="569" t="s">
        <v>1971</v>
      </c>
      <c r="J31" s="571" t="s">
        <v>865</v>
      </c>
      <c r="K31" s="571" t="s">
        <v>881</v>
      </c>
      <c r="L31" s="571" t="s">
        <v>1831</v>
      </c>
      <c r="M31" s="586">
        <v>45595</v>
      </c>
      <c r="N31" s="586">
        <v>45959</v>
      </c>
      <c r="O31" s="785">
        <f t="shared" si="4"/>
        <v>52</v>
      </c>
      <c r="P31" s="798">
        <v>45695</v>
      </c>
      <c r="Q31" s="798">
        <f t="shared" si="8"/>
        <v>45695</v>
      </c>
      <c r="R31" s="233">
        <f t="shared" si="1"/>
        <v>-37.714285714285715</v>
      </c>
      <c r="S31" s="234" t="str">
        <f t="shared" ca="1" si="2"/>
        <v>En tiempo</v>
      </c>
      <c r="T31" s="787"/>
      <c r="U31" s="235">
        <f t="shared" si="3"/>
        <v>0</v>
      </c>
      <c r="V31" s="235" t="str">
        <f t="shared" si="7"/>
        <v>100%</v>
      </c>
      <c r="W31" s="277" t="str">
        <f t="shared" si="5"/>
        <v>Cumple</v>
      </c>
      <c r="X31" s="788" t="s">
        <v>1651</v>
      </c>
      <c r="Y31" s="788" t="s">
        <v>1651</v>
      </c>
      <c r="Z31" s="812">
        <f t="shared" si="6"/>
        <v>0.5</v>
      </c>
      <c r="AA31" s="813"/>
      <c r="AB31" s="813"/>
      <c r="AC31" s="814"/>
      <c r="AD31" s="793"/>
    </row>
    <row r="32" spans="1:30" ht="50.25" customHeight="1" x14ac:dyDescent="0.2">
      <c r="A32" s="1091" t="s">
        <v>202</v>
      </c>
      <c r="B32" s="1089" t="s">
        <v>53</v>
      </c>
      <c r="C32" s="1099" t="s">
        <v>2078</v>
      </c>
      <c r="D32" s="1101" t="s">
        <v>2079</v>
      </c>
      <c r="E32" s="1101" t="s">
        <v>2080</v>
      </c>
      <c r="F32" s="578" t="s">
        <v>2081</v>
      </c>
      <c r="G32" s="578" t="s">
        <v>2082</v>
      </c>
      <c r="H32" s="571">
        <v>1</v>
      </c>
      <c r="I32" s="569" t="s">
        <v>1955</v>
      </c>
      <c r="J32" s="571" t="s">
        <v>865</v>
      </c>
      <c r="K32" s="571" t="s">
        <v>881</v>
      </c>
      <c r="L32" s="587" t="s">
        <v>2083</v>
      </c>
      <c r="M32" s="586">
        <v>45595</v>
      </c>
      <c r="N32" s="586">
        <v>45838</v>
      </c>
      <c r="O32" s="785">
        <f t="shared" si="4"/>
        <v>34.714285714285715</v>
      </c>
      <c r="P32" s="798">
        <v>45695</v>
      </c>
      <c r="Q32" s="798">
        <f t="shared" si="8"/>
        <v>45695</v>
      </c>
      <c r="R32" s="233">
        <f t="shared" si="1"/>
        <v>-20.428571428571431</v>
      </c>
      <c r="S32" s="234" t="str">
        <f t="shared" ca="1" si="2"/>
        <v>En tiempo</v>
      </c>
      <c r="T32" s="787"/>
      <c r="U32" s="235">
        <f t="shared" si="3"/>
        <v>0</v>
      </c>
      <c r="V32" s="235" t="str">
        <f t="shared" si="7"/>
        <v>100%</v>
      </c>
      <c r="W32" s="277" t="str">
        <f t="shared" si="5"/>
        <v>Cumple</v>
      </c>
      <c r="X32" s="788" t="s">
        <v>1651</v>
      </c>
      <c r="Y32" s="788" t="s">
        <v>1651</v>
      </c>
      <c r="Z32" s="812">
        <f t="shared" si="6"/>
        <v>0.5</v>
      </c>
      <c r="AA32" s="813"/>
      <c r="AB32" s="813"/>
      <c r="AC32" s="814"/>
      <c r="AD32" s="793"/>
    </row>
    <row r="33" spans="1:30" ht="33.75" customHeight="1" x14ac:dyDescent="0.2">
      <c r="A33" s="1097"/>
      <c r="B33" s="1098"/>
      <c r="C33" s="1099"/>
      <c r="D33" s="1101"/>
      <c r="E33" s="1101"/>
      <c r="F33" s="578" t="s">
        <v>2084</v>
      </c>
      <c r="G33" s="579" t="s">
        <v>2085</v>
      </c>
      <c r="H33" s="571">
        <v>1</v>
      </c>
      <c r="I33" s="569" t="s">
        <v>1955</v>
      </c>
      <c r="J33" s="571" t="s">
        <v>865</v>
      </c>
      <c r="K33" s="571" t="s">
        <v>881</v>
      </c>
      <c r="L33" s="571" t="s">
        <v>2086</v>
      </c>
      <c r="M33" s="586">
        <v>45595</v>
      </c>
      <c r="N33" s="586">
        <v>45838</v>
      </c>
      <c r="O33" s="785">
        <f t="shared" si="4"/>
        <v>34.714285714285715</v>
      </c>
      <c r="P33" s="798">
        <v>45695</v>
      </c>
      <c r="Q33" s="798">
        <f t="shared" si="8"/>
        <v>45695</v>
      </c>
      <c r="R33" s="233">
        <f t="shared" si="1"/>
        <v>-20.428571428571431</v>
      </c>
      <c r="S33" s="234" t="str">
        <f t="shared" ca="1" si="2"/>
        <v>En tiempo</v>
      </c>
      <c r="T33" s="787"/>
      <c r="U33" s="235">
        <f t="shared" si="3"/>
        <v>0</v>
      </c>
      <c r="V33" s="235" t="str">
        <f t="shared" si="7"/>
        <v>100%</v>
      </c>
      <c r="W33" s="277" t="str">
        <f t="shared" si="5"/>
        <v>Cumple</v>
      </c>
      <c r="X33" s="788" t="s">
        <v>1651</v>
      </c>
      <c r="Y33" s="788" t="s">
        <v>1651</v>
      </c>
      <c r="Z33" s="812">
        <f t="shared" si="6"/>
        <v>0.5</v>
      </c>
      <c r="AA33" s="813"/>
      <c r="AB33" s="813"/>
      <c r="AC33" s="814"/>
      <c r="AD33" s="793"/>
    </row>
    <row r="34" spans="1:30" ht="30" customHeight="1" x14ac:dyDescent="0.2">
      <c r="A34" s="1097"/>
      <c r="B34" s="1098"/>
      <c r="C34" s="1099"/>
      <c r="D34" s="1101"/>
      <c r="E34" s="1101"/>
      <c r="F34" s="580" t="s">
        <v>2087</v>
      </c>
      <c r="G34" s="581" t="s">
        <v>2088</v>
      </c>
      <c r="H34" s="572">
        <v>1</v>
      </c>
      <c r="I34" s="569" t="s">
        <v>1955</v>
      </c>
      <c r="J34" s="571" t="s">
        <v>865</v>
      </c>
      <c r="K34" s="571" t="s">
        <v>881</v>
      </c>
      <c r="L34" s="587" t="s">
        <v>1360</v>
      </c>
      <c r="M34" s="586">
        <v>45595</v>
      </c>
      <c r="N34" s="586">
        <v>45838</v>
      </c>
      <c r="O34" s="785">
        <f t="shared" si="4"/>
        <v>34.714285714285715</v>
      </c>
      <c r="P34" s="798">
        <v>45695</v>
      </c>
      <c r="Q34" s="798">
        <f t="shared" si="8"/>
        <v>45695</v>
      </c>
      <c r="R34" s="233">
        <f t="shared" si="1"/>
        <v>-20.428571428571431</v>
      </c>
      <c r="S34" s="234" t="str">
        <f t="shared" ca="1" si="2"/>
        <v>En tiempo</v>
      </c>
      <c r="T34" s="787"/>
      <c r="U34" s="235">
        <f t="shared" si="3"/>
        <v>0</v>
      </c>
      <c r="V34" s="235" t="str">
        <f t="shared" si="7"/>
        <v>100%</v>
      </c>
      <c r="W34" s="277" t="str">
        <f t="shared" si="5"/>
        <v>Cumple</v>
      </c>
      <c r="X34" s="788" t="s">
        <v>1651</v>
      </c>
      <c r="Y34" s="788" t="s">
        <v>1651</v>
      </c>
      <c r="Z34" s="812">
        <f t="shared" si="6"/>
        <v>0.5</v>
      </c>
      <c r="AA34" s="813"/>
      <c r="AB34" s="813"/>
      <c r="AC34" s="814"/>
      <c r="AD34" s="793"/>
    </row>
    <row r="35" spans="1:30" ht="28.5" customHeight="1" x14ac:dyDescent="0.2">
      <c r="A35" s="1097"/>
      <c r="B35" s="1098"/>
      <c r="C35" s="1099"/>
      <c r="D35" s="1101"/>
      <c r="E35" s="1101"/>
      <c r="F35" s="580" t="s">
        <v>2089</v>
      </c>
      <c r="G35" s="582" t="s">
        <v>1819</v>
      </c>
      <c r="H35" s="585">
        <v>1</v>
      </c>
      <c r="I35" s="569" t="s">
        <v>1955</v>
      </c>
      <c r="J35" s="571" t="s">
        <v>865</v>
      </c>
      <c r="K35" s="571" t="s">
        <v>881</v>
      </c>
      <c r="L35" s="571" t="s">
        <v>2090</v>
      </c>
      <c r="M35" s="586">
        <v>45595</v>
      </c>
      <c r="N35" s="586">
        <v>45959</v>
      </c>
      <c r="O35" s="785">
        <f t="shared" si="4"/>
        <v>52</v>
      </c>
      <c r="P35" s="798">
        <v>45695</v>
      </c>
      <c r="Q35" s="798">
        <f t="shared" si="8"/>
        <v>45695</v>
      </c>
      <c r="R35" s="233">
        <f t="shared" si="1"/>
        <v>-37.714285714285715</v>
      </c>
      <c r="S35" s="234" t="str">
        <f t="shared" ca="1" si="2"/>
        <v>En tiempo</v>
      </c>
      <c r="T35" s="787"/>
      <c r="U35" s="235">
        <f t="shared" si="3"/>
        <v>0</v>
      </c>
      <c r="V35" s="235" t="str">
        <f t="shared" si="7"/>
        <v>100%</v>
      </c>
      <c r="W35" s="277" t="str">
        <f t="shared" si="5"/>
        <v>Cumple</v>
      </c>
      <c r="X35" s="788" t="s">
        <v>1651</v>
      </c>
      <c r="Y35" s="788" t="s">
        <v>1651</v>
      </c>
      <c r="Z35" s="812">
        <f t="shared" si="6"/>
        <v>0.5</v>
      </c>
      <c r="AA35" s="813"/>
      <c r="AB35" s="813"/>
      <c r="AC35" s="814"/>
      <c r="AD35" s="793"/>
    </row>
    <row r="36" spans="1:30" ht="39" customHeight="1" x14ac:dyDescent="0.2">
      <c r="A36" s="1092"/>
      <c r="B36" s="1090"/>
      <c r="C36" s="1100"/>
      <c r="D36" s="1102"/>
      <c r="E36" s="1102"/>
      <c r="F36" s="583" t="s">
        <v>2091</v>
      </c>
      <c r="G36" s="584" t="s">
        <v>2092</v>
      </c>
      <c r="H36" s="572">
        <v>1</v>
      </c>
      <c r="I36" s="569" t="s">
        <v>1955</v>
      </c>
      <c r="J36" s="587" t="s">
        <v>110</v>
      </c>
      <c r="K36" s="571" t="s">
        <v>881</v>
      </c>
      <c r="L36" s="587" t="s">
        <v>2093</v>
      </c>
      <c r="M36" s="586">
        <v>45595</v>
      </c>
      <c r="N36" s="586">
        <v>45959</v>
      </c>
      <c r="O36" s="785">
        <f t="shared" si="4"/>
        <v>52</v>
      </c>
      <c r="P36" s="798">
        <v>45695</v>
      </c>
      <c r="Q36" s="798">
        <f t="shared" si="8"/>
        <v>45695</v>
      </c>
      <c r="R36" s="233">
        <f t="shared" si="1"/>
        <v>-37.714285714285715</v>
      </c>
      <c r="S36" s="234" t="str">
        <f t="shared" ca="1" si="2"/>
        <v>En tiempo</v>
      </c>
      <c r="T36" s="787"/>
      <c r="U36" s="235">
        <f t="shared" si="3"/>
        <v>0</v>
      </c>
      <c r="V36" s="235" t="str">
        <f t="shared" si="7"/>
        <v>100%</v>
      </c>
      <c r="W36" s="277" t="str">
        <f t="shared" si="5"/>
        <v>Cumple</v>
      </c>
      <c r="X36" s="788" t="s">
        <v>1651</v>
      </c>
      <c r="Y36" s="788" t="s">
        <v>1651</v>
      </c>
      <c r="Z36" s="812">
        <f t="shared" si="6"/>
        <v>0.5</v>
      </c>
      <c r="AA36" s="813"/>
      <c r="AB36" s="813"/>
      <c r="AC36" s="814"/>
      <c r="AD36" s="793"/>
    </row>
    <row r="37" spans="1:30" ht="31.5" customHeight="1" x14ac:dyDescent="0.2">
      <c r="A37" s="1091" t="s">
        <v>202</v>
      </c>
      <c r="B37" s="1089" t="s">
        <v>53</v>
      </c>
      <c r="C37" s="1099" t="s">
        <v>2094</v>
      </c>
      <c r="D37" s="1101" t="s">
        <v>2095</v>
      </c>
      <c r="E37" s="1101" t="s">
        <v>2096</v>
      </c>
      <c r="F37" s="569" t="s">
        <v>2097</v>
      </c>
      <c r="G37" s="569" t="s">
        <v>1536</v>
      </c>
      <c r="H37" s="572">
        <v>1</v>
      </c>
      <c r="I37" s="569" t="s">
        <v>1971</v>
      </c>
      <c r="J37" s="571" t="s">
        <v>865</v>
      </c>
      <c r="K37" s="571" t="s">
        <v>881</v>
      </c>
      <c r="L37" s="571" t="s">
        <v>2072</v>
      </c>
      <c r="M37" s="586">
        <v>45595</v>
      </c>
      <c r="N37" s="586">
        <v>45838</v>
      </c>
      <c r="O37" s="785">
        <f t="shared" si="4"/>
        <v>34.714285714285715</v>
      </c>
      <c r="P37" s="798">
        <v>45695</v>
      </c>
      <c r="Q37" s="798">
        <f t="shared" si="8"/>
        <v>45695</v>
      </c>
      <c r="R37" s="233">
        <f t="shared" si="1"/>
        <v>-20.428571428571431</v>
      </c>
      <c r="S37" s="234" t="str">
        <f t="shared" ca="1" si="2"/>
        <v>En tiempo</v>
      </c>
      <c r="T37" s="787"/>
      <c r="U37" s="235">
        <f t="shared" si="3"/>
        <v>0</v>
      </c>
      <c r="V37" s="235" t="str">
        <f t="shared" si="7"/>
        <v>100%</v>
      </c>
      <c r="W37" s="277" t="str">
        <f t="shared" si="5"/>
        <v>Cumple</v>
      </c>
      <c r="X37" s="788" t="s">
        <v>1651</v>
      </c>
      <c r="Y37" s="788" t="s">
        <v>1651</v>
      </c>
      <c r="Z37" s="812">
        <f t="shared" si="6"/>
        <v>0.5</v>
      </c>
      <c r="AA37" s="813"/>
      <c r="AB37" s="813"/>
      <c r="AC37" s="814"/>
      <c r="AD37" s="793"/>
    </row>
    <row r="38" spans="1:30" ht="30.75" customHeight="1" x14ac:dyDescent="0.2">
      <c r="A38" s="1097"/>
      <c r="B38" s="1098"/>
      <c r="C38" s="1099"/>
      <c r="D38" s="1101"/>
      <c r="E38" s="1101"/>
      <c r="F38" s="569" t="s">
        <v>2098</v>
      </c>
      <c r="G38" s="569" t="s">
        <v>2099</v>
      </c>
      <c r="H38" s="571">
        <v>1</v>
      </c>
      <c r="I38" s="569" t="s">
        <v>1971</v>
      </c>
      <c r="J38" s="571" t="s">
        <v>865</v>
      </c>
      <c r="K38" s="571" t="s">
        <v>881</v>
      </c>
      <c r="L38" s="571" t="s">
        <v>2100</v>
      </c>
      <c r="M38" s="586">
        <v>45595</v>
      </c>
      <c r="N38" s="586">
        <v>45838</v>
      </c>
      <c r="O38" s="785">
        <f t="shared" si="4"/>
        <v>34.714285714285715</v>
      </c>
      <c r="P38" s="798">
        <v>45695</v>
      </c>
      <c r="Q38" s="798">
        <f t="shared" si="8"/>
        <v>45695</v>
      </c>
      <c r="R38" s="233">
        <f t="shared" si="1"/>
        <v>-20.428571428571431</v>
      </c>
      <c r="S38" s="234" t="str">
        <f t="shared" ca="1" si="2"/>
        <v>En tiempo</v>
      </c>
      <c r="T38" s="787"/>
      <c r="U38" s="235">
        <f t="shared" si="3"/>
        <v>0</v>
      </c>
      <c r="V38" s="235" t="str">
        <f t="shared" si="7"/>
        <v>100%</v>
      </c>
      <c r="W38" s="277" t="str">
        <f t="shared" si="5"/>
        <v>Cumple</v>
      </c>
      <c r="X38" s="788" t="s">
        <v>1651</v>
      </c>
      <c r="Y38" s="788" t="s">
        <v>1651</v>
      </c>
      <c r="Z38" s="812">
        <f t="shared" si="6"/>
        <v>0.5</v>
      </c>
      <c r="AA38" s="813"/>
      <c r="AB38" s="813"/>
      <c r="AC38" s="814"/>
      <c r="AD38" s="793"/>
    </row>
    <row r="39" spans="1:30" ht="30.75" customHeight="1" x14ac:dyDescent="0.2">
      <c r="A39" s="1097"/>
      <c r="B39" s="1098"/>
      <c r="C39" s="1099"/>
      <c r="D39" s="1101"/>
      <c r="E39" s="1101"/>
      <c r="F39" s="569" t="s">
        <v>2101</v>
      </c>
      <c r="G39" s="569" t="s">
        <v>2102</v>
      </c>
      <c r="H39" s="572">
        <v>1</v>
      </c>
      <c r="I39" s="569" t="s">
        <v>1971</v>
      </c>
      <c r="J39" s="571" t="s">
        <v>865</v>
      </c>
      <c r="K39" s="571" t="s">
        <v>881</v>
      </c>
      <c r="L39" s="571" t="s">
        <v>1360</v>
      </c>
      <c r="M39" s="586">
        <v>45595</v>
      </c>
      <c r="N39" s="586">
        <v>45838</v>
      </c>
      <c r="O39" s="785">
        <f t="shared" si="4"/>
        <v>34.714285714285715</v>
      </c>
      <c r="P39" s="798">
        <v>45695</v>
      </c>
      <c r="Q39" s="798">
        <f t="shared" si="8"/>
        <v>45695</v>
      </c>
      <c r="R39" s="233">
        <f t="shared" si="1"/>
        <v>-20.428571428571431</v>
      </c>
      <c r="S39" s="234" t="str">
        <f t="shared" ca="1" si="2"/>
        <v>En tiempo</v>
      </c>
      <c r="T39" s="787"/>
      <c r="U39" s="235">
        <f t="shared" si="3"/>
        <v>0</v>
      </c>
      <c r="V39" s="235" t="str">
        <f t="shared" si="7"/>
        <v>100%</v>
      </c>
      <c r="W39" s="277" t="str">
        <f t="shared" si="5"/>
        <v>Cumple</v>
      </c>
      <c r="X39" s="788" t="s">
        <v>1651</v>
      </c>
      <c r="Y39" s="788" t="s">
        <v>1651</v>
      </c>
      <c r="Z39" s="812">
        <f t="shared" si="6"/>
        <v>0.5</v>
      </c>
      <c r="AA39" s="813"/>
      <c r="AB39" s="813"/>
      <c r="AC39" s="814"/>
      <c r="AD39" s="793"/>
    </row>
    <row r="40" spans="1:30" ht="33" customHeight="1" x14ac:dyDescent="0.2">
      <c r="A40" s="1092"/>
      <c r="B40" s="1090"/>
      <c r="C40" s="1100"/>
      <c r="D40" s="1102"/>
      <c r="E40" s="1102"/>
      <c r="F40" s="569" t="s">
        <v>2103</v>
      </c>
      <c r="G40" s="569" t="s">
        <v>2104</v>
      </c>
      <c r="H40" s="572">
        <v>1</v>
      </c>
      <c r="I40" s="569" t="s">
        <v>1971</v>
      </c>
      <c r="J40" s="571" t="s">
        <v>865</v>
      </c>
      <c r="K40" s="571" t="s">
        <v>881</v>
      </c>
      <c r="L40" s="571" t="s">
        <v>1831</v>
      </c>
      <c r="M40" s="586">
        <v>45595</v>
      </c>
      <c r="N40" s="586">
        <v>45838</v>
      </c>
      <c r="O40" s="785">
        <f t="shared" si="4"/>
        <v>34.714285714285715</v>
      </c>
      <c r="P40" s="798">
        <v>45695</v>
      </c>
      <c r="Q40" s="798">
        <f t="shared" si="8"/>
        <v>45695</v>
      </c>
      <c r="R40" s="233">
        <f t="shared" si="1"/>
        <v>-20.428571428571431</v>
      </c>
      <c r="S40" s="234" t="str">
        <f t="shared" ca="1" si="2"/>
        <v>En tiempo</v>
      </c>
      <c r="T40" s="787"/>
      <c r="U40" s="235">
        <f t="shared" si="3"/>
        <v>0</v>
      </c>
      <c r="V40" s="235" t="str">
        <f t="shared" si="7"/>
        <v>100%</v>
      </c>
      <c r="W40" s="277" t="str">
        <f t="shared" si="5"/>
        <v>Cumple</v>
      </c>
      <c r="X40" s="788" t="s">
        <v>1651</v>
      </c>
      <c r="Y40" s="788" t="s">
        <v>1651</v>
      </c>
      <c r="Z40" s="812">
        <f t="shared" si="6"/>
        <v>0.5</v>
      </c>
      <c r="AA40" s="813"/>
      <c r="AB40" s="813"/>
      <c r="AC40" s="814"/>
      <c r="AD40" s="793"/>
    </row>
    <row r="41" spans="1:30" ht="99.75" customHeight="1" x14ac:dyDescent="0.2">
      <c r="A41" s="1091" t="s">
        <v>202</v>
      </c>
      <c r="B41" s="1089" t="s">
        <v>53</v>
      </c>
      <c r="C41" s="1099" t="s">
        <v>2105</v>
      </c>
      <c r="D41" s="1099" t="s">
        <v>2106</v>
      </c>
      <c r="E41" s="1099" t="s">
        <v>2107</v>
      </c>
      <c r="F41" s="569" t="s">
        <v>2108</v>
      </c>
      <c r="G41" s="569" t="s">
        <v>1536</v>
      </c>
      <c r="H41" s="572">
        <v>1</v>
      </c>
      <c r="I41" s="569" t="s">
        <v>1971</v>
      </c>
      <c r="J41" s="571" t="s">
        <v>865</v>
      </c>
      <c r="K41" s="571" t="s">
        <v>881</v>
      </c>
      <c r="L41" s="571" t="s">
        <v>2072</v>
      </c>
      <c r="M41" s="586">
        <v>45595</v>
      </c>
      <c r="N41" s="586">
        <v>45744</v>
      </c>
      <c r="O41" s="785">
        <f t="shared" si="4"/>
        <v>21.285714285714285</v>
      </c>
      <c r="P41" s="798">
        <v>45695</v>
      </c>
      <c r="Q41" s="798">
        <f t="shared" si="8"/>
        <v>45695</v>
      </c>
      <c r="R41" s="233">
        <f t="shared" si="1"/>
        <v>-6.9999999999999982</v>
      </c>
      <c r="S41" s="234" t="str">
        <f t="shared" ca="1" si="2"/>
        <v>Alerta</v>
      </c>
      <c r="T41" s="787">
        <v>0.5</v>
      </c>
      <c r="U41" s="235">
        <f t="shared" si="3"/>
        <v>0.5</v>
      </c>
      <c r="V41" s="235" t="str">
        <f t="shared" si="7"/>
        <v>100%</v>
      </c>
      <c r="W41" s="277" t="str">
        <f t="shared" si="5"/>
        <v>Cumple</v>
      </c>
      <c r="X41" s="788" t="s">
        <v>2109</v>
      </c>
      <c r="Y41" s="801" t="s">
        <v>2110</v>
      </c>
      <c r="Z41" s="812">
        <f t="shared" si="6"/>
        <v>0.75</v>
      </c>
      <c r="AA41" s="813"/>
      <c r="AB41" s="813"/>
      <c r="AC41" s="814"/>
      <c r="AD41" s="793"/>
    </row>
    <row r="42" spans="1:30" ht="33.75" customHeight="1" x14ac:dyDescent="0.2">
      <c r="A42" s="1097"/>
      <c r="B42" s="1098"/>
      <c r="C42" s="1099"/>
      <c r="D42" s="1099"/>
      <c r="E42" s="1099"/>
      <c r="F42" s="569" t="s">
        <v>2111</v>
      </c>
      <c r="G42" s="569" t="s">
        <v>2112</v>
      </c>
      <c r="H42" s="572">
        <v>1</v>
      </c>
      <c r="I42" s="569" t="s">
        <v>1971</v>
      </c>
      <c r="J42" s="571" t="s">
        <v>865</v>
      </c>
      <c r="K42" s="571" t="s">
        <v>881</v>
      </c>
      <c r="L42" s="571" t="s">
        <v>2113</v>
      </c>
      <c r="M42" s="586">
        <v>45595</v>
      </c>
      <c r="N42" s="586">
        <v>45838</v>
      </c>
      <c r="O42" s="785">
        <f t="shared" si="4"/>
        <v>34.714285714285715</v>
      </c>
      <c r="P42" s="798">
        <v>45695</v>
      </c>
      <c r="Q42" s="798">
        <f t="shared" si="8"/>
        <v>45695</v>
      </c>
      <c r="R42" s="233">
        <f t="shared" si="1"/>
        <v>-20.428571428571431</v>
      </c>
      <c r="S42" s="234" t="str">
        <f t="shared" ca="1" si="2"/>
        <v>En tiempo</v>
      </c>
      <c r="T42" s="787"/>
      <c r="U42" s="235">
        <f t="shared" si="3"/>
        <v>0</v>
      </c>
      <c r="V42" s="235" t="str">
        <f t="shared" si="7"/>
        <v>100%</v>
      </c>
      <c r="W42" s="277" t="str">
        <f t="shared" si="5"/>
        <v>Cumple</v>
      </c>
      <c r="X42" s="788" t="s">
        <v>1651</v>
      </c>
      <c r="Y42" s="788" t="s">
        <v>1651</v>
      </c>
      <c r="Z42" s="812">
        <f t="shared" si="6"/>
        <v>0.5</v>
      </c>
      <c r="AA42" s="813"/>
      <c r="AB42" s="813"/>
      <c r="AC42" s="814"/>
      <c r="AD42" s="793"/>
    </row>
    <row r="43" spans="1:30" ht="30.75" customHeight="1" x14ac:dyDescent="0.2">
      <c r="A43" s="1097"/>
      <c r="B43" s="1098"/>
      <c r="C43" s="1099"/>
      <c r="D43" s="1099"/>
      <c r="E43" s="1099"/>
      <c r="F43" s="569" t="s">
        <v>2114</v>
      </c>
      <c r="G43" s="569" t="s">
        <v>2115</v>
      </c>
      <c r="H43" s="572">
        <v>1</v>
      </c>
      <c r="I43" s="569" t="s">
        <v>1971</v>
      </c>
      <c r="J43" s="571" t="s">
        <v>865</v>
      </c>
      <c r="K43" s="571" t="s">
        <v>881</v>
      </c>
      <c r="L43" s="571" t="s">
        <v>1360</v>
      </c>
      <c r="M43" s="586">
        <v>45595</v>
      </c>
      <c r="N43" s="586">
        <v>45838</v>
      </c>
      <c r="O43" s="785">
        <f t="shared" si="4"/>
        <v>34.714285714285715</v>
      </c>
      <c r="P43" s="798">
        <v>45695</v>
      </c>
      <c r="Q43" s="798">
        <f t="shared" si="8"/>
        <v>45695</v>
      </c>
      <c r="R43" s="233">
        <f t="shared" si="1"/>
        <v>-20.428571428571431</v>
      </c>
      <c r="S43" s="234" t="str">
        <f t="shared" ca="1" si="2"/>
        <v>En tiempo</v>
      </c>
      <c r="T43" s="787"/>
      <c r="U43" s="235">
        <f t="shared" si="3"/>
        <v>0</v>
      </c>
      <c r="V43" s="235" t="str">
        <f t="shared" si="7"/>
        <v>100%</v>
      </c>
      <c r="W43" s="277" t="str">
        <f t="shared" si="5"/>
        <v>Cumple</v>
      </c>
      <c r="X43" s="788" t="s">
        <v>1651</v>
      </c>
      <c r="Y43" s="788" t="s">
        <v>1651</v>
      </c>
      <c r="Z43" s="812">
        <f t="shared" si="6"/>
        <v>0.5</v>
      </c>
      <c r="AA43" s="813"/>
      <c r="AB43" s="813"/>
      <c r="AC43" s="814"/>
      <c r="AD43" s="793"/>
    </row>
    <row r="44" spans="1:30" ht="33.75" customHeight="1" x14ac:dyDescent="0.2">
      <c r="A44" s="1092"/>
      <c r="B44" s="1090"/>
      <c r="C44" s="1100"/>
      <c r="D44" s="1100"/>
      <c r="E44" s="1100"/>
      <c r="F44" s="569" t="s">
        <v>2116</v>
      </c>
      <c r="G44" s="569" t="s">
        <v>2117</v>
      </c>
      <c r="H44" s="572">
        <v>1</v>
      </c>
      <c r="I44" s="569" t="s">
        <v>1971</v>
      </c>
      <c r="J44" s="571" t="s">
        <v>865</v>
      </c>
      <c r="K44" s="571" t="s">
        <v>215</v>
      </c>
      <c r="L44" s="571" t="s">
        <v>2118</v>
      </c>
      <c r="M44" s="586">
        <v>45595</v>
      </c>
      <c r="N44" s="586">
        <v>45959</v>
      </c>
      <c r="O44" s="785">
        <f t="shared" si="4"/>
        <v>52</v>
      </c>
      <c r="P44" s="798">
        <v>45695</v>
      </c>
      <c r="Q44" s="798">
        <f t="shared" si="8"/>
        <v>45695</v>
      </c>
      <c r="R44" s="233">
        <f t="shared" si="1"/>
        <v>-37.714285714285715</v>
      </c>
      <c r="S44" s="234" t="str">
        <f t="shared" ca="1" si="2"/>
        <v>En tiempo</v>
      </c>
      <c r="T44" s="787"/>
      <c r="U44" s="235">
        <f t="shared" si="3"/>
        <v>0</v>
      </c>
      <c r="V44" s="235" t="str">
        <f t="shared" si="7"/>
        <v>100%</v>
      </c>
      <c r="W44" s="277" t="str">
        <f t="shared" si="5"/>
        <v>Cumple</v>
      </c>
      <c r="X44" s="788" t="s">
        <v>1651</v>
      </c>
      <c r="Y44" s="788" t="s">
        <v>1651</v>
      </c>
      <c r="Z44" s="812">
        <f t="shared" si="6"/>
        <v>0.5</v>
      </c>
      <c r="AA44" s="813"/>
      <c r="AB44" s="813"/>
      <c r="AC44" s="814"/>
      <c r="AD44" s="793"/>
    </row>
    <row r="45" spans="1:30" ht="61.5" customHeight="1" x14ac:dyDescent="0.2">
      <c r="A45" s="1091" t="s">
        <v>202</v>
      </c>
      <c r="B45" s="1089" t="s">
        <v>53</v>
      </c>
      <c r="C45" s="1099" t="s">
        <v>2119</v>
      </c>
      <c r="D45" s="1101" t="s">
        <v>2120</v>
      </c>
      <c r="E45" s="1101" t="s">
        <v>2121</v>
      </c>
      <c r="F45" s="578" t="s">
        <v>2122</v>
      </c>
      <c r="G45" s="578" t="s">
        <v>1536</v>
      </c>
      <c r="H45" s="572">
        <v>1</v>
      </c>
      <c r="I45" s="569" t="s">
        <v>1955</v>
      </c>
      <c r="J45" s="571" t="s">
        <v>865</v>
      </c>
      <c r="K45" s="571" t="s">
        <v>881</v>
      </c>
      <c r="L45" s="571" t="s">
        <v>2019</v>
      </c>
      <c r="M45" s="586">
        <v>45595</v>
      </c>
      <c r="N45" s="586">
        <v>45746</v>
      </c>
      <c r="O45" s="785">
        <f t="shared" si="4"/>
        <v>21.571428571428573</v>
      </c>
      <c r="P45" s="798">
        <v>45695</v>
      </c>
      <c r="Q45" s="798">
        <f t="shared" si="8"/>
        <v>45695</v>
      </c>
      <c r="R45" s="233">
        <f t="shared" si="1"/>
        <v>-7.2857142857142865</v>
      </c>
      <c r="S45" s="234" t="str">
        <f t="shared" ca="1" si="2"/>
        <v>Alerta</v>
      </c>
      <c r="T45" s="787"/>
      <c r="U45" s="235">
        <f t="shared" si="3"/>
        <v>0</v>
      </c>
      <c r="V45" s="235" t="str">
        <f t="shared" si="7"/>
        <v>100%</v>
      </c>
      <c r="W45" s="277" t="str">
        <f t="shared" si="5"/>
        <v>Cumple</v>
      </c>
      <c r="X45" s="788" t="s">
        <v>1651</v>
      </c>
      <c r="Y45" s="788" t="s">
        <v>1651</v>
      </c>
      <c r="Z45" s="812">
        <f t="shared" si="6"/>
        <v>0.5</v>
      </c>
      <c r="AA45" s="813"/>
      <c r="AB45" s="813"/>
      <c r="AC45" s="814"/>
      <c r="AD45" s="793"/>
    </row>
    <row r="46" spans="1:30" ht="50.25" customHeight="1" x14ac:dyDescent="0.2">
      <c r="A46" s="1097"/>
      <c r="B46" s="1098"/>
      <c r="C46" s="1099"/>
      <c r="D46" s="1101"/>
      <c r="E46" s="1101"/>
      <c r="F46" s="578" t="s">
        <v>2123</v>
      </c>
      <c r="G46" s="569" t="s">
        <v>2124</v>
      </c>
      <c r="H46" s="571">
        <v>1</v>
      </c>
      <c r="I46" s="569" t="s">
        <v>1971</v>
      </c>
      <c r="J46" s="571" t="s">
        <v>865</v>
      </c>
      <c r="K46" s="571" t="s">
        <v>881</v>
      </c>
      <c r="L46" s="571" t="s">
        <v>2125</v>
      </c>
      <c r="M46" s="586">
        <v>45595</v>
      </c>
      <c r="N46" s="586">
        <v>45959</v>
      </c>
      <c r="O46" s="785">
        <f t="shared" si="4"/>
        <v>52</v>
      </c>
      <c r="P46" s="798">
        <v>45695</v>
      </c>
      <c r="Q46" s="798">
        <f t="shared" si="8"/>
        <v>45695</v>
      </c>
      <c r="R46" s="233">
        <f t="shared" si="1"/>
        <v>-37.714285714285715</v>
      </c>
      <c r="S46" s="234" t="str">
        <f t="shared" ca="1" si="2"/>
        <v>En tiempo</v>
      </c>
      <c r="T46" s="787"/>
      <c r="U46" s="235">
        <f t="shared" si="3"/>
        <v>0</v>
      </c>
      <c r="V46" s="235" t="str">
        <f t="shared" si="7"/>
        <v>100%</v>
      </c>
      <c r="W46" s="277" t="str">
        <f t="shared" si="5"/>
        <v>Cumple</v>
      </c>
      <c r="X46" s="788" t="s">
        <v>1651</v>
      </c>
      <c r="Y46" s="788" t="s">
        <v>1651</v>
      </c>
      <c r="Z46" s="812">
        <f t="shared" si="6"/>
        <v>0.5</v>
      </c>
      <c r="AA46" s="813"/>
      <c r="AB46" s="813"/>
      <c r="AC46" s="814"/>
      <c r="AD46" s="793"/>
    </row>
    <row r="47" spans="1:30" ht="45.75" customHeight="1" x14ac:dyDescent="0.2">
      <c r="A47" s="1092"/>
      <c r="B47" s="1090"/>
      <c r="C47" s="1100"/>
      <c r="D47" s="1102"/>
      <c r="E47" s="1102"/>
      <c r="F47" s="578" t="s">
        <v>2126</v>
      </c>
      <c r="G47" s="578" t="s">
        <v>2127</v>
      </c>
      <c r="H47" s="585">
        <v>1</v>
      </c>
      <c r="I47" s="569" t="s">
        <v>1955</v>
      </c>
      <c r="J47" s="571" t="s">
        <v>87</v>
      </c>
      <c r="K47" s="571" t="s">
        <v>881</v>
      </c>
      <c r="L47" s="587" t="s">
        <v>2128</v>
      </c>
      <c r="M47" s="586">
        <v>45595</v>
      </c>
      <c r="N47" s="586">
        <v>45959</v>
      </c>
      <c r="O47" s="785">
        <f t="shared" si="4"/>
        <v>52</v>
      </c>
      <c r="P47" s="798">
        <v>45695</v>
      </c>
      <c r="Q47" s="798">
        <f t="shared" si="8"/>
        <v>45695</v>
      </c>
      <c r="R47" s="233">
        <f t="shared" si="1"/>
        <v>-37.714285714285715</v>
      </c>
      <c r="S47" s="234" t="str">
        <f t="shared" ca="1" si="2"/>
        <v>En tiempo</v>
      </c>
      <c r="T47" s="787"/>
      <c r="U47" s="235">
        <f t="shared" si="3"/>
        <v>0</v>
      </c>
      <c r="V47" s="235" t="str">
        <f t="shared" si="7"/>
        <v>100%</v>
      </c>
      <c r="W47" s="277" t="str">
        <f t="shared" si="5"/>
        <v>Cumple</v>
      </c>
      <c r="X47" s="788" t="s">
        <v>1651</v>
      </c>
      <c r="Y47" s="788" t="s">
        <v>1651</v>
      </c>
      <c r="Z47" s="812">
        <f t="shared" si="6"/>
        <v>0.5</v>
      </c>
      <c r="AA47" s="813"/>
      <c r="AB47" s="813"/>
      <c r="AC47" s="814"/>
      <c r="AD47" s="793"/>
    </row>
    <row r="48" spans="1:30" ht="50.25" customHeight="1" x14ac:dyDescent="0.2">
      <c r="A48" s="1091" t="s">
        <v>202</v>
      </c>
      <c r="B48" s="1089" t="s">
        <v>53</v>
      </c>
      <c r="C48" s="1099" t="s">
        <v>2129</v>
      </c>
      <c r="D48" s="1099" t="s">
        <v>2130</v>
      </c>
      <c r="E48" s="1099" t="s">
        <v>2131</v>
      </c>
      <c r="F48" s="578" t="s">
        <v>2132</v>
      </c>
      <c r="G48" s="578" t="s">
        <v>2133</v>
      </c>
      <c r="H48" s="572">
        <v>1</v>
      </c>
      <c r="I48" s="569" t="s">
        <v>1955</v>
      </c>
      <c r="J48" s="571" t="s">
        <v>865</v>
      </c>
      <c r="K48" s="571" t="s">
        <v>881</v>
      </c>
      <c r="L48" s="571" t="s">
        <v>2019</v>
      </c>
      <c r="M48" s="586">
        <v>45595</v>
      </c>
      <c r="N48" s="586">
        <v>45959</v>
      </c>
      <c r="O48" s="785">
        <f t="shared" si="4"/>
        <v>52</v>
      </c>
      <c r="P48" s="798">
        <v>45695</v>
      </c>
      <c r="Q48" s="798">
        <f t="shared" si="8"/>
        <v>45695</v>
      </c>
      <c r="R48" s="233">
        <f t="shared" si="1"/>
        <v>-37.714285714285715</v>
      </c>
      <c r="S48" s="234" t="str">
        <f t="shared" ca="1" si="2"/>
        <v>En tiempo</v>
      </c>
      <c r="T48" s="787"/>
      <c r="U48" s="235">
        <f t="shared" si="3"/>
        <v>0</v>
      </c>
      <c r="V48" s="235" t="str">
        <f t="shared" si="7"/>
        <v>100%</v>
      </c>
      <c r="W48" s="277" t="str">
        <f t="shared" si="5"/>
        <v>Cumple</v>
      </c>
      <c r="X48" s="788" t="s">
        <v>1651</v>
      </c>
      <c r="Y48" s="788" t="s">
        <v>1651</v>
      </c>
      <c r="Z48" s="812">
        <f t="shared" si="6"/>
        <v>0.5</v>
      </c>
      <c r="AA48" s="813"/>
      <c r="AB48" s="813"/>
      <c r="AC48" s="814"/>
      <c r="AD48" s="793"/>
    </row>
    <row r="49" spans="1:30" ht="31.5" customHeight="1" x14ac:dyDescent="0.2">
      <c r="A49" s="1097"/>
      <c r="B49" s="1098"/>
      <c r="C49" s="1099"/>
      <c r="D49" s="1099"/>
      <c r="E49" s="1099"/>
      <c r="F49" s="578" t="s">
        <v>2134</v>
      </c>
      <c r="G49" s="569" t="s">
        <v>2135</v>
      </c>
      <c r="H49" s="572">
        <v>1</v>
      </c>
      <c r="I49" s="569" t="s">
        <v>1955</v>
      </c>
      <c r="J49" s="571" t="s">
        <v>865</v>
      </c>
      <c r="K49" s="571" t="s">
        <v>881</v>
      </c>
      <c r="L49" s="571" t="s">
        <v>2136</v>
      </c>
      <c r="M49" s="586">
        <v>45595</v>
      </c>
      <c r="N49" s="586">
        <v>45959</v>
      </c>
      <c r="O49" s="785">
        <f t="shared" si="4"/>
        <v>52</v>
      </c>
      <c r="P49" s="798">
        <v>45695</v>
      </c>
      <c r="Q49" s="798">
        <f t="shared" si="8"/>
        <v>45695</v>
      </c>
      <c r="R49" s="233">
        <f t="shared" si="1"/>
        <v>-37.714285714285715</v>
      </c>
      <c r="S49" s="234" t="str">
        <f t="shared" ca="1" si="2"/>
        <v>En tiempo</v>
      </c>
      <c r="T49" s="787"/>
      <c r="U49" s="235">
        <f t="shared" si="3"/>
        <v>0</v>
      </c>
      <c r="V49" s="235" t="str">
        <f t="shared" si="7"/>
        <v>100%</v>
      </c>
      <c r="W49" s="277" t="str">
        <f t="shared" si="5"/>
        <v>Cumple</v>
      </c>
      <c r="X49" s="788" t="s">
        <v>1651</v>
      </c>
      <c r="Y49" s="788" t="s">
        <v>1651</v>
      </c>
      <c r="Z49" s="812">
        <f t="shared" si="6"/>
        <v>0.5</v>
      </c>
      <c r="AA49" s="813"/>
      <c r="AB49" s="813"/>
      <c r="AC49" s="814"/>
      <c r="AD49" s="793"/>
    </row>
    <row r="50" spans="1:30" ht="57.75" customHeight="1" x14ac:dyDescent="0.2">
      <c r="A50" s="1092"/>
      <c r="B50" s="1090"/>
      <c r="C50" s="1100"/>
      <c r="D50" s="1100"/>
      <c r="E50" s="1100"/>
      <c r="F50" s="569" t="s">
        <v>2137</v>
      </c>
      <c r="G50" s="569" t="s">
        <v>2138</v>
      </c>
      <c r="H50" s="571">
        <v>1</v>
      </c>
      <c r="I50" s="569" t="s">
        <v>1955</v>
      </c>
      <c r="J50" s="571" t="s">
        <v>865</v>
      </c>
      <c r="K50" s="571" t="s">
        <v>881</v>
      </c>
      <c r="L50" s="571" t="s">
        <v>2139</v>
      </c>
      <c r="M50" s="586">
        <v>45595</v>
      </c>
      <c r="N50" s="586">
        <v>45959</v>
      </c>
      <c r="O50" s="785">
        <f t="shared" si="4"/>
        <v>52</v>
      </c>
      <c r="P50" s="798">
        <v>45695</v>
      </c>
      <c r="Q50" s="798">
        <f t="shared" si="8"/>
        <v>45695</v>
      </c>
      <c r="R50" s="233">
        <f t="shared" si="1"/>
        <v>-37.714285714285715</v>
      </c>
      <c r="S50" s="234" t="str">
        <f t="shared" ca="1" si="2"/>
        <v>En tiempo</v>
      </c>
      <c r="T50" s="787"/>
      <c r="U50" s="235">
        <f t="shared" si="3"/>
        <v>0</v>
      </c>
      <c r="V50" s="235" t="str">
        <f t="shared" si="7"/>
        <v>100%</v>
      </c>
      <c r="W50" s="277" t="str">
        <f t="shared" si="5"/>
        <v>Cumple</v>
      </c>
      <c r="X50" s="788" t="s">
        <v>1651</v>
      </c>
      <c r="Y50" s="788" t="s">
        <v>1651</v>
      </c>
      <c r="Z50" s="812">
        <f t="shared" si="6"/>
        <v>0.5</v>
      </c>
      <c r="AA50" s="813"/>
      <c r="AB50" s="813"/>
      <c r="AC50" s="814"/>
      <c r="AD50" s="793"/>
    </row>
    <row r="51" spans="1:30" ht="15" x14ac:dyDescent="0.2">
      <c r="G51" s="62" t="s">
        <v>314</v>
      </c>
      <c r="H51" s="63">
        <f>SUM(H7:H50)</f>
        <v>92</v>
      </c>
      <c r="R51" s="996" t="s">
        <v>195</v>
      </c>
      <c r="S51" s="996"/>
      <c r="T51" s="241">
        <f>SUM(T7:T50)</f>
        <v>10.850000000000001</v>
      </c>
      <c r="U51" s="242">
        <f>AVERAGE(U7:U50)</f>
        <v>0.24338235294117652</v>
      </c>
      <c r="V51" s="278"/>
      <c r="W51" s="243">
        <f>(COUNTIF(W7:W50,"Cumple")*100%)/COUNTA(W7:W50)</f>
        <v>0.97727272727272729</v>
      </c>
      <c r="AA51" s="996" t="s">
        <v>195</v>
      </c>
      <c r="AB51" s="996"/>
      <c r="AC51" s="243">
        <f>AVERAGE(AC7:AC50)</f>
        <v>0.93833333333333324</v>
      </c>
    </row>
  </sheetData>
  <mergeCells count="88">
    <mergeCell ref="A7:A9"/>
    <mergeCell ref="R51:S51"/>
    <mergeCell ref="AA51:AB51"/>
    <mergeCell ref="C7:C9"/>
    <mergeCell ref="D7:D9"/>
    <mergeCell ref="E7:E9"/>
    <mergeCell ref="B7:B9"/>
    <mergeCell ref="C10:C12"/>
    <mergeCell ref="D10:D12"/>
    <mergeCell ref="E10:E12"/>
    <mergeCell ref="A10:A12"/>
    <mergeCell ref="B10:B12"/>
    <mergeCell ref="C14:C17"/>
    <mergeCell ref="D14:D17"/>
    <mergeCell ref="E14:E17"/>
    <mergeCell ref="A14:A17"/>
    <mergeCell ref="Z5:AD5"/>
    <mergeCell ref="C3:F3"/>
    <mergeCell ref="G3:H3"/>
    <mergeCell ref="I3:N3"/>
    <mergeCell ref="O3:P3"/>
    <mergeCell ref="Q3:V3"/>
    <mergeCell ref="C4:F4"/>
    <mergeCell ref="G4:H4"/>
    <mergeCell ref="I4:N4"/>
    <mergeCell ref="O4:P4"/>
    <mergeCell ref="Q4:S4"/>
    <mergeCell ref="T4:U4"/>
    <mergeCell ref="V4:Y4"/>
    <mergeCell ref="A5:N5"/>
    <mergeCell ref="O5:Y5"/>
    <mergeCell ref="A4:B4"/>
    <mergeCell ref="A1:B1"/>
    <mergeCell ref="C1:N1"/>
    <mergeCell ref="O1:P2"/>
    <mergeCell ref="Q1:Y2"/>
    <mergeCell ref="Z1:AD4"/>
    <mergeCell ref="A2:B2"/>
    <mergeCell ref="C2:F2"/>
    <mergeCell ref="G2:H2"/>
    <mergeCell ref="I2:N2"/>
    <mergeCell ref="A3:B3"/>
    <mergeCell ref="B14:B17"/>
    <mergeCell ref="C18:C21"/>
    <mergeCell ref="D18:D21"/>
    <mergeCell ref="E18:E21"/>
    <mergeCell ref="A18:A21"/>
    <mergeCell ref="B18:B21"/>
    <mergeCell ref="C22:C24"/>
    <mergeCell ref="D22:D24"/>
    <mergeCell ref="E22:E24"/>
    <mergeCell ref="A22:A24"/>
    <mergeCell ref="B22:B24"/>
    <mergeCell ref="C26:C28"/>
    <mergeCell ref="D26:D28"/>
    <mergeCell ref="E26:E28"/>
    <mergeCell ref="C29:C31"/>
    <mergeCell ref="D29:D31"/>
    <mergeCell ref="E29:E31"/>
    <mergeCell ref="C32:C36"/>
    <mergeCell ref="D32:D36"/>
    <mergeCell ref="E32:E36"/>
    <mergeCell ref="C37:C40"/>
    <mergeCell ref="D37:D40"/>
    <mergeCell ref="E37:E40"/>
    <mergeCell ref="A48:A50"/>
    <mergeCell ref="C41:C44"/>
    <mergeCell ref="D41:D44"/>
    <mergeCell ref="E41:E44"/>
    <mergeCell ref="C45:C47"/>
    <mergeCell ref="D45:D47"/>
    <mergeCell ref="E45:E47"/>
    <mergeCell ref="B48:B50"/>
    <mergeCell ref="C48:C50"/>
    <mergeCell ref="D48:D50"/>
    <mergeCell ref="E48:E50"/>
    <mergeCell ref="A26:A28"/>
    <mergeCell ref="B26:B28"/>
    <mergeCell ref="A29:A31"/>
    <mergeCell ref="B29:B31"/>
    <mergeCell ref="A32:A36"/>
    <mergeCell ref="B32:B36"/>
    <mergeCell ref="A37:A40"/>
    <mergeCell ref="B37:B40"/>
    <mergeCell ref="A41:A44"/>
    <mergeCell ref="B41:B44"/>
    <mergeCell ref="A45:A47"/>
    <mergeCell ref="B45:B47"/>
  </mergeCells>
  <conditionalFormatting sqref="R7:R50">
    <cfRule type="cellIs" dxfId="101" priority="16" operator="greaterThan">
      <formula>0</formula>
    </cfRule>
    <cfRule type="cellIs" dxfId="100" priority="17" operator="lessThan">
      <formula>0</formula>
    </cfRule>
  </conditionalFormatting>
  <conditionalFormatting sqref="S7:S50">
    <cfRule type="containsText" dxfId="99" priority="10" operator="containsText" text="Alerta">
      <formula>NOT(ISERROR(SEARCH("Alerta",S7)))</formula>
    </cfRule>
    <cfRule type="containsText" dxfId="98" priority="11" operator="containsText" text="En tiempo">
      <formula>NOT(ISERROR(SEARCH("En tiempo",S7)))</formula>
    </cfRule>
  </conditionalFormatting>
  <conditionalFormatting sqref="U7:V50 Z7:Z50 U51">
    <cfRule type="cellIs" dxfId="97" priority="1" operator="between">
      <formula>0.29</formula>
      <formula>0</formula>
    </cfRule>
    <cfRule type="cellIs" dxfId="96" priority="2" operator="between">
      <formula>0.49</formula>
      <formula>0.3</formula>
    </cfRule>
    <cfRule type="cellIs" dxfId="95" priority="3" operator="between">
      <formula>0.79</formula>
      <formula>0.5</formula>
    </cfRule>
    <cfRule type="cellIs" dxfId="94" priority="4" operator="between">
      <formula>1</formula>
      <formula>0.8</formula>
    </cfRule>
  </conditionalFormatting>
  <conditionalFormatting sqref="W7:W50">
    <cfRule type="containsText" dxfId="93" priority="8" operator="containsText" text="Incumple">
      <formula>NOT(ISERROR(SEARCH("Incumple",W7)))</formula>
    </cfRule>
    <cfRule type="containsText" dxfId="92" priority="9" operator="containsText" text="Cumple">
      <formula>NOT(ISERROR(SEARCH("Cumple",W7)))</formula>
    </cfRule>
  </conditionalFormatting>
  <conditionalFormatting sqref="W51">
    <cfRule type="cellIs" dxfId="91" priority="12" operator="between">
      <formula>0.19</formula>
      <formula>0</formula>
    </cfRule>
    <cfRule type="cellIs" dxfId="90" priority="13" operator="between">
      <formula>0.49</formula>
      <formula>0.2</formula>
    </cfRule>
    <cfRule type="cellIs" dxfId="89" priority="14" operator="between">
      <formula>0.89</formula>
      <formula>0.5</formula>
    </cfRule>
    <cfRule type="cellIs" dxfId="88" priority="15" operator="between">
      <formula>1</formula>
      <formula>0.9</formula>
    </cfRule>
  </conditionalFormatting>
  <conditionalFormatting sqref="AC7:AC51">
    <cfRule type="cellIs" dxfId="87" priority="5" operator="between">
      <formula>0.3</formula>
      <formula>0</formula>
    </cfRule>
    <cfRule type="cellIs" dxfId="86" priority="6" operator="between">
      <formula>0.6999</formula>
      <formula>0.3111</formula>
    </cfRule>
    <cfRule type="cellIs" dxfId="85" priority="7" operator="between">
      <formula>1</formula>
      <formula>0.7</formula>
    </cfRule>
  </conditionalFormatting>
  <dataValidations count="3">
    <dataValidation type="list" allowBlank="1" showInputMessage="1" showErrorMessage="1" sqref="B13:B14 B7 B10 B18 B22 B25:B26 B29 B32 B37 B41 B45 B48" xr:uid="{572232DD-D43C-465E-8A14-F6EB3909880E}">
      <formula1>"No conformidad,Oportunidad de Mejora,Observación OCI,Hallazgo CGR"</formula1>
    </dataValidation>
    <dataValidation type="list" allowBlank="1" showInputMessage="1" showErrorMessage="1" sqref="A13:A14 A7 A10 A18 A22 A25:A26 A29 A32 A37 A41 A45 A48" xr:uid="{AC54A215-9A5B-462F-942A-504091356D5F}">
      <formula1>"Autoevaluación,Evaluación de Pares,Auditoría Interna,Evaluación Externa ICONTEC,Auditoría Interna Control Interno,Servicio No Conforme,Auditoría Externa CGR"</formula1>
    </dataValidation>
    <dataValidation allowBlank="1" showInputMessage="1" showErrorMessage="1" errorTitle="Estado" error="No es un estado de los Planes de Mejoramiento" sqref="Q4:S4" xr:uid="{55499E45-9832-4209-BD95-3ED3A484912C}"/>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AB31"/>
  <sheetViews>
    <sheetView zoomScale="68" zoomScaleNormal="68" workbookViewId="0">
      <pane xSplit="3" ySplit="3" topLeftCell="K4" activePane="bottomRight" state="frozen"/>
      <selection pane="topRight"/>
      <selection pane="bottomLeft"/>
      <selection pane="bottomRight" activeCell="W4" sqref="W4"/>
    </sheetView>
  </sheetViews>
  <sheetFormatPr baseColWidth="10" defaultColWidth="10.7109375" defaultRowHeight="14.25" x14ac:dyDescent="0.2"/>
  <cols>
    <col min="1" max="1" width="11" style="84" bestFit="1" customWidth="1"/>
    <col min="2" max="3" width="10.7109375" style="84" bestFit="1" customWidth="1"/>
    <col min="4" max="4" width="83.42578125" style="84" customWidth="1"/>
    <col min="5" max="5" width="60.42578125" style="84" customWidth="1"/>
    <col min="6" max="6" width="19.140625" style="84" customWidth="1"/>
    <col min="7" max="7" width="20" style="84" customWidth="1"/>
    <col min="8" max="8" width="22.42578125" style="84" customWidth="1"/>
    <col min="9" max="9" width="10.7109375" style="84" customWidth="1"/>
    <col min="10" max="10" width="20.28515625" style="89" customWidth="1"/>
    <col min="11" max="11" width="24" style="89" customWidth="1"/>
    <col min="12" max="12" width="11" style="84" customWidth="1"/>
    <col min="13" max="13" width="17" style="89" customWidth="1"/>
    <col min="14" max="14" width="15.85546875" style="84" customWidth="1"/>
    <col min="15" max="17" width="10.7109375" style="84" customWidth="1"/>
    <col min="18" max="20" width="10.7109375" style="84" hidden="1" customWidth="1"/>
    <col min="21" max="21" width="16" style="84" customWidth="1"/>
    <col min="22" max="22" width="79.28515625" style="84" customWidth="1"/>
    <col min="23" max="23" width="110.85546875" style="84" customWidth="1"/>
    <col min="24" max="24" width="13.140625" style="84" hidden="1" customWidth="1"/>
    <col min="25" max="25" width="14.85546875" style="84" customWidth="1"/>
    <col min="26" max="26" width="10.7109375" style="84" customWidth="1"/>
    <col min="27" max="27" width="12.28515625" style="84" customWidth="1"/>
    <col min="28" max="28" width="12.5703125" style="84" bestFit="1" customWidth="1"/>
    <col min="29" max="16384" width="10.7109375" style="84"/>
  </cols>
  <sheetData>
    <row r="1" spans="1:28" ht="12.75" customHeight="1" thickBot="1" x14ac:dyDescent="0.25">
      <c r="A1" s="1120" t="s">
        <v>2140</v>
      </c>
      <c r="B1" s="1120"/>
      <c r="C1" s="1120"/>
      <c r="D1" s="1120"/>
      <c r="E1" s="1120"/>
      <c r="F1" s="1120"/>
      <c r="G1" s="1120"/>
      <c r="H1" s="1120"/>
      <c r="I1" s="1120"/>
      <c r="J1" s="1120"/>
      <c r="K1" s="1120"/>
      <c r="L1" s="1120"/>
      <c r="M1" s="1120"/>
      <c r="N1" s="1120"/>
      <c r="O1" s="1120"/>
      <c r="P1" s="1120"/>
      <c r="Q1" s="1120"/>
      <c r="R1" s="1120"/>
      <c r="S1" s="1120"/>
      <c r="T1" s="1120"/>
      <c r="U1" s="1120"/>
      <c r="V1" s="1120"/>
      <c r="W1" s="1120"/>
      <c r="X1" s="1120"/>
      <c r="Y1" s="1120"/>
      <c r="Z1" s="126"/>
    </row>
    <row r="2" spans="1:28" ht="12" customHeight="1" thickBot="1" x14ac:dyDescent="0.25">
      <c r="A2" s="1120"/>
      <c r="B2" s="1120"/>
      <c r="C2" s="1120"/>
      <c r="D2" s="1120"/>
      <c r="E2" s="1120"/>
      <c r="F2" s="1120"/>
      <c r="G2" s="1120"/>
      <c r="H2" s="1120"/>
      <c r="I2" s="1120"/>
      <c r="J2" s="1120"/>
      <c r="K2" s="1120"/>
      <c r="L2" s="1120"/>
      <c r="M2" s="1120"/>
      <c r="N2" s="1120"/>
      <c r="O2" s="1120"/>
      <c r="P2" s="1120"/>
      <c r="Q2" s="1120"/>
      <c r="R2" s="1120"/>
      <c r="S2" s="1120"/>
      <c r="T2" s="1120"/>
      <c r="U2" s="1120"/>
      <c r="V2" s="1120"/>
      <c r="W2" s="1120"/>
      <c r="X2" s="1120"/>
      <c r="Y2" s="1120"/>
      <c r="Z2" s="126"/>
    </row>
    <row r="3" spans="1:28" s="88" customFormat="1" ht="67.5" customHeight="1" thickBot="1" x14ac:dyDescent="0.25">
      <c r="A3" s="122"/>
      <c r="B3" s="123" t="s">
        <v>2141</v>
      </c>
      <c r="C3" s="123"/>
      <c r="D3" s="123" t="s">
        <v>2142</v>
      </c>
      <c r="E3" s="123" t="s">
        <v>2143</v>
      </c>
      <c r="F3" s="123" t="s">
        <v>2144</v>
      </c>
      <c r="G3" s="123" t="s">
        <v>27</v>
      </c>
      <c r="H3" s="123" t="s">
        <v>2145</v>
      </c>
      <c r="I3" s="123" t="s">
        <v>2146</v>
      </c>
      <c r="J3" s="124" t="s">
        <v>34</v>
      </c>
      <c r="K3" s="124" t="s">
        <v>35</v>
      </c>
      <c r="L3" s="123" t="s">
        <v>36</v>
      </c>
      <c r="M3" s="124" t="s">
        <v>37</v>
      </c>
      <c r="N3" s="123" t="s">
        <v>2147</v>
      </c>
      <c r="O3" s="123" t="s">
        <v>2148</v>
      </c>
      <c r="P3" s="123" t="s">
        <v>41</v>
      </c>
      <c r="Q3" s="123" t="s">
        <v>42</v>
      </c>
      <c r="R3" s="123" t="s">
        <v>2149</v>
      </c>
      <c r="S3" s="117" t="s">
        <v>2150</v>
      </c>
      <c r="T3" s="117" t="s">
        <v>2151</v>
      </c>
      <c r="U3" s="117" t="s">
        <v>44</v>
      </c>
      <c r="V3" s="117" t="s">
        <v>2152</v>
      </c>
      <c r="W3" s="117" t="s">
        <v>2153</v>
      </c>
      <c r="X3" s="117" t="s">
        <v>21</v>
      </c>
      <c r="Y3" s="117" t="s">
        <v>2154</v>
      </c>
      <c r="Z3" s="87"/>
    </row>
    <row r="4" spans="1:28" s="823" customFormat="1" ht="235.5" customHeight="1" thickBot="1" x14ac:dyDescent="0.25">
      <c r="A4" s="816">
        <v>1</v>
      </c>
      <c r="B4" s="265" t="s">
        <v>2155</v>
      </c>
      <c r="C4" s="265" t="s">
        <v>2156</v>
      </c>
      <c r="D4" s="268" t="s">
        <v>2157</v>
      </c>
      <c r="E4" s="268" t="s">
        <v>2158</v>
      </c>
      <c r="F4" s="268" t="s">
        <v>2159</v>
      </c>
      <c r="G4" s="268" t="s">
        <v>2160</v>
      </c>
      <c r="H4" s="268" t="s">
        <v>2161</v>
      </c>
      <c r="I4" s="268">
        <v>1</v>
      </c>
      <c r="J4" s="466">
        <v>44015</v>
      </c>
      <c r="K4" s="817">
        <v>45657</v>
      </c>
      <c r="L4" s="467">
        <f t="shared" ref="L4:L25" si="0">(K4-J4)/7</f>
        <v>234.57142857142858</v>
      </c>
      <c r="M4" s="468">
        <v>45656</v>
      </c>
      <c r="N4" s="467">
        <f>(M4-K4)/7</f>
        <v>-0.14285714285714285</v>
      </c>
      <c r="O4" s="818" t="str">
        <f ca="1">IF((K4-TODAY())/7&gt;=L4/4,"En tiempo","Alerta")</f>
        <v>Alerta</v>
      </c>
      <c r="P4" s="819">
        <v>1</v>
      </c>
      <c r="Q4" s="493">
        <f>IF(P4/I4=1,1,+P4/I4)</f>
        <v>1</v>
      </c>
      <c r="R4" s="265"/>
      <c r="S4" s="265"/>
      <c r="T4" s="265"/>
      <c r="U4" s="820" t="str">
        <f>IF(M4&lt;=K4,"Cumple","Incumple")</f>
        <v>Cumple</v>
      </c>
      <c r="V4" s="819" t="s">
        <v>2162</v>
      </c>
      <c r="W4" s="821" t="s">
        <v>2163</v>
      </c>
      <c r="X4" s="265"/>
      <c r="Y4" s="268" t="s">
        <v>2164</v>
      </c>
      <c r="Z4" s="822"/>
    </row>
    <row r="5" spans="1:28" s="453" customFormat="1" ht="209.45" customHeight="1" thickBot="1" x14ac:dyDescent="0.25">
      <c r="A5" s="449">
        <v>2</v>
      </c>
      <c r="B5" s="263" t="s">
        <v>2155</v>
      </c>
      <c r="C5" s="265" t="s">
        <v>2156</v>
      </c>
      <c r="D5" s="268" t="s">
        <v>2165</v>
      </c>
      <c r="E5" s="268" t="s">
        <v>2166</v>
      </c>
      <c r="F5" s="268" t="s">
        <v>2167</v>
      </c>
      <c r="G5" s="268" t="s">
        <v>2168</v>
      </c>
      <c r="H5" s="268" t="s">
        <v>2169</v>
      </c>
      <c r="I5" s="268">
        <v>2</v>
      </c>
      <c r="J5" s="466">
        <v>44015</v>
      </c>
      <c r="K5" s="466">
        <v>44195</v>
      </c>
      <c r="L5" s="467">
        <f t="shared" si="0"/>
        <v>25.714285714285715</v>
      </c>
      <c r="M5" s="466">
        <v>44165</v>
      </c>
      <c r="N5" s="467">
        <f t="shared" ref="N5:N28" si="1">(M5-K5)/7</f>
        <v>-4.2857142857142856</v>
      </c>
      <c r="O5" s="450" t="str">
        <f t="shared" ref="O5:O28" ca="1" si="2">IF((K5-TODAY())/7&gt;=L5/4,"En tiempo","Alerta")</f>
        <v>Alerta</v>
      </c>
      <c r="P5" s="262">
        <v>2</v>
      </c>
      <c r="Q5" s="454">
        <f t="shared" ref="Q5:Q28" si="3">IF(P5/I5=1,1,+P5/I5)</f>
        <v>1</v>
      </c>
      <c r="R5" s="263"/>
      <c r="S5" s="263"/>
      <c r="T5" s="263"/>
      <c r="U5" s="451" t="str">
        <f>IF(M5&lt;=K5,"Cumple","Incumple")</f>
        <v>Cumple</v>
      </c>
      <c r="V5" s="257" t="s">
        <v>2170</v>
      </c>
      <c r="W5" s="265"/>
      <c r="X5" s="263"/>
      <c r="Y5" s="262" t="s">
        <v>2171</v>
      </c>
      <c r="Z5" s="452"/>
    </row>
    <row r="6" spans="1:28" s="453" customFormat="1" ht="186" thickBot="1" x14ac:dyDescent="0.25">
      <c r="A6" s="449">
        <v>3</v>
      </c>
      <c r="B6" s="263" t="s">
        <v>2155</v>
      </c>
      <c r="C6" s="265" t="s">
        <v>2156</v>
      </c>
      <c r="D6" s="268" t="s">
        <v>2172</v>
      </c>
      <c r="E6" s="268" t="s">
        <v>2173</v>
      </c>
      <c r="F6" s="268" t="s">
        <v>2174</v>
      </c>
      <c r="G6" s="268" t="s">
        <v>2175</v>
      </c>
      <c r="H6" s="268" t="s">
        <v>2176</v>
      </c>
      <c r="I6" s="268">
        <v>1</v>
      </c>
      <c r="J6" s="466">
        <v>44015</v>
      </c>
      <c r="K6" s="466">
        <v>44196</v>
      </c>
      <c r="L6" s="467">
        <f t="shared" si="0"/>
        <v>25.857142857142858</v>
      </c>
      <c r="M6" s="466">
        <v>44165</v>
      </c>
      <c r="N6" s="467">
        <f t="shared" si="1"/>
        <v>-4.4285714285714288</v>
      </c>
      <c r="O6" s="450" t="str">
        <f t="shared" ca="1" si="2"/>
        <v>Alerta</v>
      </c>
      <c r="P6" s="262">
        <v>1</v>
      </c>
      <c r="Q6" s="454">
        <f t="shared" si="3"/>
        <v>1</v>
      </c>
      <c r="R6" s="263"/>
      <c r="S6" s="263"/>
      <c r="T6" s="263"/>
      <c r="U6" s="451" t="str">
        <f>IF(M6&lt;=K6,"Cumple","Incumple")</f>
        <v>Cumple</v>
      </c>
      <c r="V6" s="257" t="s">
        <v>2177</v>
      </c>
      <c r="W6" s="265"/>
      <c r="X6" s="263"/>
      <c r="Y6" s="262" t="s">
        <v>2171</v>
      </c>
      <c r="Z6" s="452"/>
    </row>
    <row r="7" spans="1:28" s="453" customFormat="1" ht="171.75" thickBot="1" x14ac:dyDescent="0.25">
      <c r="A7" s="449">
        <v>3</v>
      </c>
      <c r="B7" s="263" t="s">
        <v>2155</v>
      </c>
      <c r="C7" s="265" t="s">
        <v>2156</v>
      </c>
      <c r="D7" s="268" t="s">
        <v>2178</v>
      </c>
      <c r="E7" s="268" t="s">
        <v>2179</v>
      </c>
      <c r="F7" s="268" t="s">
        <v>2180</v>
      </c>
      <c r="G7" s="268" t="s">
        <v>2181</v>
      </c>
      <c r="H7" s="268" t="s">
        <v>2182</v>
      </c>
      <c r="I7" s="268">
        <v>1</v>
      </c>
      <c r="J7" s="466">
        <v>44015</v>
      </c>
      <c r="K7" s="466">
        <v>44196</v>
      </c>
      <c r="L7" s="467">
        <f t="shared" si="0"/>
        <v>25.857142857142858</v>
      </c>
      <c r="M7" s="466">
        <v>44165</v>
      </c>
      <c r="N7" s="467">
        <f t="shared" si="1"/>
        <v>-4.4285714285714288</v>
      </c>
      <c r="O7" s="450" t="str">
        <f t="shared" ca="1" si="2"/>
        <v>Alerta</v>
      </c>
      <c r="P7" s="262">
        <v>1</v>
      </c>
      <c r="Q7" s="454">
        <f t="shared" si="3"/>
        <v>1</v>
      </c>
      <c r="R7" s="263"/>
      <c r="S7" s="263"/>
      <c r="T7" s="263"/>
      <c r="U7" s="451" t="str">
        <f>IF(M7&lt;=K7,"Cumple","Incumple")</f>
        <v>Cumple</v>
      </c>
      <c r="V7" s="257" t="s">
        <v>2183</v>
      </c>
      <c r="W7" s="265"/>
      <c r="X7" s="263"/>
      <c r="Y7" s="262" t="s">
        <v>2171</v>
      </c>
      <c r="Z7" s="452"/>
    </row>
    <row r="8" spans="1:28" s="453" customFormat="1" ht="190.5" customHeight="1" thickBot="1" x14ac:dyDescent="0.25">
      <c r="A8" s="449">
        <v>5</v>
      </c>
      <c r="B8" s="263" t="s">
        <v>2155</v>
      </c>
      <c r="C8" s="265" t="s">
        <v>2156</v>
      </c>
      <c r="D8" s="268" t="s">
        <v>2184</v>
      </c>
      <c r="E8" s="268" t="s">
        <v>2185</v>
      </c>
      <c r="F8" s="268" t="s">
        <v>2186</v>
      </c>
      <c r="G8" s="268" t="s">
        <v>2187</v>
      </c>
      <c r="H8" s="268" t="s">
        <v>2188</v>
      </c>
      <c r="I8" s="268">
        <v>1</v>
      </c>
      <c r="J8" s="466">
        <v>44015</v>
      </c>
      <c r="K8" s="466">
        <v>44107</v>
      </c>
      <c r="L8" s="467">
        <f t="shared" si="0"/>
        <v>13.142857142857142</v>
      </c>
      <c r="M8" s="466">
        <v>44165</v>
      </c>
      <c r="N8" s="467">
        <f t="shared" si="1"/>
        <v>8.2857142857142865</v>
      </c>
      <c r="O8" s="450" t="str">
        <f t="shared" ca="1" si="2"/>
        <v>Alerta</v>
      </c>
      <c r="P8" s="262">
        <v>1</v>
      </c>
      <c r="Q8" s="454">
        <f t="shared" si="3"/>
        <v>1</v>
      </c>
      <c r="R8" s="263"/>
      <c r="S8" s="263"/>
      <c r="T8" s="263"/>
      <c r="U8" s="451" t="str">
        <f>IF(M8&lt;=K8,"Cumple","Incumple")</f>
        <v>Incumple</v>
      </c>
      <c r="V8" s="257" t="s">
        <v>2189</v>
      </c>
      <c r="W8" s="265"/>
      <c r="X8" s="263"/>
      <c r="Y8" s="262" t="s">
        <v>2190</v>
      </c>
      <c r="Z8" s="452"/>
    </row>
    <row r="9" spans="1:28" s="453" customFormat="1" ht="163.5" customHeight="1" thickBot="1" x14ac:dyDescent="0.25">
      <c r="A9" s="449">
        <v>6</v>
      </c>
      <c r="B9" s="263" t="s">
        <v>2155</v>
      </c>
      <c r="C9" s="265" t="s">
        <v>2156</v>
      </c>
      <c r="D9" s="268" t="s">
        <v>2191</v>
      </c>
      <c r="E9" s="268" t="s">
        <v>2192</v>
      </c>
      <c r="F9" s="268" t="s">
        <v>2193</v>
      </c>
      <c r="G9" s="268" t="s">
        <v>2194</v>
      </c>
      <c r="H9" s="268" t="s">
        <v>2195</v>
      </c>
      <c r="I9" s="268">
        <v>4</v>
      </c>
      <c r="J9" s="466">
        <v>44015</v>
      </c>
      <c r="K9" s="466">
        <v>44134</v>
      </c>
      <c r="L9" s="467">
        <f t="shared" si="0"/>
        <v>17</v>
      </c>
      <c r="M9" s="466">
        <v>44165</v>
      </c>
      <c r="N9" s="467">
        <f t="shared" si="1"/>
        <v>4.4285714285714288</v>
      </c>
      <c r="O9" s="450" t="str">
        <f t="shared" ca="1" si="2"/>
        <v>Alerta</v>
      </c>
      <c r="P9" s="262">
        <v>4</v>
      </c>
      <c r="Q9" s="454">
        <f t="shared" si="3"/>
        <v>1</v>
      </c>
      <c r="R9" s="263"/>
      <c r="S9" s="263"/>
      <c r="T9" s="263"/>
      <c r="U9" s="451" t="str">
        <f t="shared" ref="U9:U29" si="4">IF(M9&lt;=K9,"Cumple","Incumple")</f>
        <v>Incumple</v>
      </c>
      <c r="V9" s="257" t="s">
        <v>2196</v>
      </c>
      <c r="W9" s="265"/>
      <c r="X9" s="263"/>
      <c r="Y9" s="262" t="s">
        <v>2197</v>
      </c>
      <c r="Z9" s="452"/>
    </row>
    <row r="10" spans="1:28" s="453" customFormat="1" ht="267.75" customHeight="1" thickBot="1" x14ac:dyDescent="0.25">
      <c r="A10" s="449">
        <v>7</v>
      </c>
      <c r="B10" s="263" t="s">
        <v>2155</v>
      </c>
      <c r="C10" s="265" t="s">
        <v>2156</v>
      </c>
      <c r="D10" s="268" t="s">
        <v>2198</v>
      </c>
      <c r="E10" s="268" t="s">
        <v>2199</v>
      </c>
      <c r="F10" s="268" t="s">
        <v>2200</v>
      </c>
      <c r="G10" s="268" t="s">
        <v>2201</v>
      </c>
      <c r="H10" s="268" t="s">
        <v>2202</v>
      </c>
      <c r="I10" s="268">
        <v>1</v>
      </c>
      <c r="J10" s="466">
        <v>44015</v>
      </c>
      <c r="K10" s="466">
        <v>44316</v>
      </c>
      <c r="L10" s="467">
        <f t="shared" si="0"/>
        <v>43</v>
      </c>
      <c r="M10" s="468">
        <v>45107</v>
      </c>
      <c r="N10" s="467">
        <f t="shared" si="1"/>
        <v>113</v>
      </c>
      <c r="O10" s="450" t="str">
        <f t="shared" ca="1" si="2"/>
        <v>Alerta</v>
      </c>
      <c r="P10" s="262">
        <v>1</v>
      </c>
      <c r="Q10" s="454">
        <f t="shared" si="3"/>
        <v>1</v>
      </c>
      <c r="R10" s="263"/>
      <c r="S10" s="263"/>
      <c r="T10" s="263"/>
      <c r="U10" s="451" t="str">
        <f t="shared" si="4"/>
        <v>Incumple</v>
      </c>
      <c r="V10" s="257" t="s">
        <v>2203</v>
      </c>
      <c r="W10" s="266" t="s">
        <v>2204</v>
      </c>
      <c r="X10" s="263"/>
      <c r="Y10" s="262" t="s">
        <v>2205</v>
      </c>
      <c r="Z10" s="452"/>
      <c r="AB10" s="455"/>
    </row>
    <row r="11" spans="1:28" s="453" customFormat="1" ht="409.5" customHeight="1" thickBot="1" x14ac:dyDescent="0.25">
      <c r="A11" s="449">
        <v>8</v>
      </c>
      <c r="B11" s="263" t="s">
        <v>2155</v>
      </c>
      <c r="C11" s="265" t="s">
        <v>2156</v>
      </c>
      <c r="D11" s="469" t="s">
        <v>2206</v>
      </c>
      <c r="E11" s="268" t="s">
        <v>2207</v>
      </c>
      <c r="F11" s="268" t="s">
        <v>2208</v>
      </c>
      <c r="G11" s="268" t="s">
        <v>2209</v>
      </c>
      <c r="H11" s="268" t="s">
        <v>2210</v>
      </c>
      <c r="I11" s="268">
        <v>1</v>
      </c>
      <c r="J11" s="466">
        <v>44888</v>
      </c>
      <c r="K11" s="466">
        <v>45118</v>
      </c>
      <c r="L11" s="467">
        <f t="shared" si="0"/>
        <v>32.857142857142854</v>
      </c>
      <c r="M11" s="468">
        <v>45247</v>
      </c>
      <c r="N11" s="467">
        <f t="shared" si="1"/>
        <v>18.428571428571427</v>
      </c>
      <c r="O11" s="450" t="str">
        <f t="shared" ca="1" si="2"/>
        <v>Alerta</v>
      </c>
      <c r="P11" s="262">
        <v>1</v>
      </c>
      <c r="Q11" s="454">
        <f t="shared" si="3"/>
        <v>1</v>
      </c>
      <c r="R11" s="263"/>
      <c r="S11" s="263"/>
      <c r="T11" s="263"/>
      <c r="U11" s="451" t="str">
        <f t="shared" si="4"/>
        <v>Incumple</v>
      </c>
      <c r="V11" s="257" t="s">
        <v>2211</v>
      </c>
      <c r="W11" s="257" t="s">
        <v>2212</v>
      </c>
      <c r="X11" s="263"/>
      <c r="Y11" s="456" t="s">
        <v>2213</v>
      </c>
      <c r="Z11" s="452"/>
    </row>
    <row r="12" spans="1:28" s="823" customFormat="1" ht="393.75" customHeight="1" thickBot="1" x14ac:dyDescent="0.25">
      <c r="A12" s="816">
        <v>9</v>
      </c>
      <c r="B12" s="265" t="s">
        <v>2155</v>
      </c>
      <c r="C12" s="265" t="s">
        <v>2156</v>
      </c>
      <c r="D12" s="268" t="s">
        <v>2214</v>
      </c>
      <c r="E12" s="268" t="s">
        <v>2215</v>
      </c>
      <c r="F12" s="268" t="s">
        <v>2159</v>
      </c>
      <c r="G12" s="268" t="s">
        <v>2160</v>
      </c>
      <c r="H12" s="268" t="s">
        <v>2161</v>
      </c>
      <c r="I12" s="268">
        <v>1</v>
      </c>
      <c r="J12" s="466">
        <v>44015</v>
      </c>
      <c r="K12" s="817">
        <v>45657</v>
      </c>
      <c r="L12" s="467">
        <f t="shared" si="0"/>
        <v>234.57142857142858</v>
      </c>
      <c r="M12" s="468">
        <v>45656</v>
      </c>
      <c r="N12" s="467">
        <f t="shared" si="1"/>
        <v>-0.14285714285714285</v>
      </c>
      <c r="O12" s="818" t="str">
        <f t="shared" ca="1" si="2"/>
        <v>Alerta</v>
      </c>
      <c r="P12" s="821">
        <v>1</v>
      </c>
      <c r="Q12" s="493">
        <f t="shared" si="3"/>
        <v>1</v>
      </c>
      <c r="R12" s="265"/>
      <c r="S12" s="265"/>
      <c r="T12" s="265"/>
      <c r="U12" s="820" t="str">
        <f t="shared" si="4"/>
        <v>Cumple</v>
      </c>
      <c r="V12" s="819" t="s">
        <v>2162</v>
      </c>
      <c r="W12" s="821" t="s">
        <v>2216</v>
      </c>
      <c r="X12" s="265"/>
      <c r="Y12" s="257" t="s">
        <v>2217</v>
      </c>
      <c r="Z12" s="822"/>
    </row>
    <row r="13" spans="1:28" s="823" customFormat="1" ht="318.60000000000002" customHeight="1" thickBot="1" x14ac:dyDescent="0.25">
      <c r="A13" s="816">
        <v>10</v>
      </c>
      <c r="B13" s="265" t="s">
        <v>2155</v>
      </c>
      <c r="C13" s="265" t="s">
        <v>2156</v>
      </c>
      <c r="D13" s="257" t="s">
        <v>2218</v>
      </c>
      <c r="E13" s="257" t="s">
        <v>2219</v>
      </c>
      <c r="F13" s="257" t="s">
        <v>2220</v>
      </c>
      <c r="G13" s="268" t="s">
        <v>2221</v>
      </c>
      <c r="H13" s="268" t="s">
        <v>1352</v>
      </c>
      <c r="I13" s="268">
        <v>1</v>
      </c>
      <c r="J13" s="466">
        <v>44015</v>
      </c>
      <c r="K13" s="466">
        <v>44166</v>
      </c>
      <c r="L13" s="467">
        <f t="shared" si="0"/>
        <v>21.571428571428573</v>
      </c>
      <c r="M13" s="466">
        <v>44742</v>
      </c>
      <c r="N13" s="467">
        <f t="shared" si="1"/>
        <v>82.285714285714292</v>
      </c>
      <c r="O13" s="818" t="str">
        <f t="shared" ca="1" si="2"/>
        <v>Alerta</v>
      </c>
      <c r="P13" s="257">
        <v>1</v>
      </c>
      <c r="Q13" s="824">
        <f t="shared" si="3"/>
        <v>1</v>
      </c>
      <c r="R13" s="265"/>
      <c r="S13" s="265"/>
      <c r="T13" s="265"/>
      <c r="U13" s="820" t="str">
        <f t="shared" si="4"/>
        <v>Incumple</v>
      </c>
      <c r="V13" s="265" t="s">
        <v>2222</v>
      </c>
      <c r="W13" s="265"/>
      <c r="X13" s="265"/>
      <c r="Y13" s="825" t="s">
        <v>2223</v>
      </c>
      <c r="Z13" s="822"/>
    </row>
    <row r="14" spans="1:28" s="823" customFormat="1" ht="300" customHeight="1" thickBot="1" x14ac:dyDescent="0.25">
      <c r="A14" s="816">
        <v>11</v>
      </c>
      <c r="B14" s="265" t="s">
        <v>2155</v>
      </c>
      <c r="C14" s="265" t="s">
        <v>2156</v>
      </c>
      <c r="D14" s="261" t="s">
        <v>2224</v>
      </c>
      <c r="E14" s="268" t="s">
        <v>2225</v>
      </c>
      <c r="F14" s="268" t="s">
        <v>2226</v>
      </c>
      <c r="G14" s="268" t="s">
        <v>2227</v>
      </c>
      <c r="H14" s="268" t="s">
        <v>2228</v>
      </c>
      <c r="I14" s="268">
        <v>3</v>
      </c>
      <c r="J14" s="466">
        <v>44372</v>
      </c>
      <c r="K14" s="466">
        <v>44530</v>
      </c>
      <c r="L14" s="467">
        <f t="shared" si="0"/>
        <v>22.571428571428573</v>
      </c>
      <c r="M14" s="466">
        <v>44526</v>
      </c>
      <c r="N14" s="467">
        <f t="shared" si="1"/>
        <v>-0.5714285714285714</v>
      </c>
      <c r="O14" s="818" t="str">
        <f t="shared" ca="1" si="2"/>
        <v>Alerta</v>
      </c>
      <c r="P14" s="257">
        <v>3</v>
      </c>
      <c r="Q14" s="824">
        <f t="shared" si="3"/>
        <v>1</v>
      </c>
      <c r="R14" s="265"/>
      <c r="S14" s="265"/>
      <c r="T14" s="265"/>
      <c r="U14" s="820" t="str">
        <f t="shared" si="4"/>
        <v>Cumple</v>
      </c>
      <c r="V14" s="265" t="s">
        <v>2229</v>
      </c>
      <c r="W14" s="265"/>
      <c r="X14" s="265"/>
      <c r="Y14" s="268" t="s">
        <v>2230</v>
      </c>
      <c r="Z14" s="822"/>
    </row>
    <row r="15" spans="1:28" s="823" customFormat="1" ht="409.5" customHeight="1" thickBot="1" x14ac:dyDescent="0.25">
      <c r="A15" s="816">
        <v>12</v>
      </c>
      <c r="B15" s="265" t="s">
        <v>2155</v>
      </c>
      <c r="C15" s="265" t="s">
        <v>2156</v>
      </c>
      <c r="D15" s="257" t="s">
        <v>2231</v>
      </c>
      <c r="E15" s="268" t="s">
        <v>2232</v>
      </c>
      <c r="F15" s="268" t="s">
        <v>2233</v>
      </c>
      <c r="G15" s="268" t="s">
        <v>2234</v>
      </c>
      <c r="H15" s="268" t="s">
        <v>2235</v>
      </c>
      <c r="I15" s="268">
        <v>1</v>
      </c>
      <c r="J15" s="466">
        <v>44015</v>
      </c>
      <c r="K15" s="466">
        <v>44377</v>
      </c>
      <c r="L15" s="467">
        <f t="shared" si="0"/>
        <v>51.714285714285715</v>
      </c>
      <c r="M15" s="466">
        <v>44165</v>
      </c>
      <c r="N15" s="467">
        <f t="shared" si="1"/>
        <v>-30.285714285714285</v>
      </c>
      <c r="O15" s="818" t="str">
        <f t="shared" ca="1" si="2"/>
        <v>Alerta</v>
      </c>
      <c r="P15" s="265">
        <v>1</v>
      </c>
      <c r="Q15" s="824">
        <f t="shared" si="3"/>
        <v>1</v>
      </c>
      <c r="R15" s="265"/>
      <c r="S15" s="265"/>
      <c r="T15" s="265"/>
      <c r="U15" s="820" t="str">
        <f t="shared" si="4"/>
        <v>Cumple</v>
      </c>
      <c r="V15" s="261" t="s">
        <v>2236</v>
      </c>
      <c r="W15" s="265"/>
      <c r="X15" s="265"/>
      <c r="Y15" s="257" t="s">
        <v>2237</v>
      </c>
      <c r="Z15" s="822"/>
    </row>
    <row r="16" spans="1:28" s="823" customFormat="1" ht="266.25" customHeight="1" thickBot="1" x14ac:dyDescent="0.25">
      <c r="A16" s="816">
        <v>13</v>
      </c>
      <c r="B16" s="265" t="s">
        <v>2155</v>
      </c>
      <c r="C16" s="265" t="s">
        <v>2156</v>
      </c>
      <c r="D16" s="257" t="s">
        <v>2238</v>
      </c>
      <c r="E16" s="268" t="s">
        <v>2239</v>
      </c>
      <c r="F16" s="268" t="s">
        <v>2220</v>
      </c>
      <c r="G16" s="268" t="s">
        <v>2240</v>
      </c>
      <c r="H16" s="268" t="s">
        <v>2241</v>
      </c>
      <c r="I16" s="268">
        <v>1</v>
      </c>
      <c r="J16" s="466">
        <v>44015</v>
      </c>
      <c r="K16" s="466">
        <v>44196</v>
      </c>
      <c r="L16" s="467">
        <f t="shared" si="0"/>
        <v>25.857142857142858</v>
      </c>
      <c r="M16" s="466">
        <v>44742</v>
      </c>
      <c r="N16" s="467">
        <f t="shared" si="1"/>
        <v>78</v>
      </c>
      <c r="O16" s="818" t="str">
        <f t="shared" ca="1" si="2"/>
        <v>Alerta</v>
      </c>
      <c r="P16" s="257">
        <v>1</v>
      </c>
      <c r="Q16" s="824">
        <f t="shared" si="3"/>
        <v>1</v>
      </c>
      <c r="R16" s="265"/>
      <c r="S16" s="265"/>
      <c r="T16" s="265"/>
      <c r="U16" s="820" t="str">
        <f t="shared" si="4"/>
        <v>Incumple</v>
      </c>
      <c r="V16" s="265" t="s">
        <v>2242</v>
      </c>
      <c r="W16" s="265"/>
      <c r="X16" s="265"/>
      <c r="Y16" s="257" t="s">
        <v>2243</v>
      </c>
      <c r="Z16" s="822"/>
    </row>
    <row r="17" spans="1:27" s="823" customFormat="1" ht="171.75" thickBot="1" x14ac:dyDescent="0.25">
      <c r="A17" s="816">
        <v>14</v>
      </c>
      <c r="B17" s="265" t="s">
        <v>2155</v>
      </c>
      <c r="C17" s="265" t="s">
        <v>2156</v>
      </c>
      <c r="D17" s="257" t="s">
        <v>2244</v>
      </c>
      <c r="E17" s="268" t="s">
        <v>2245</v>
      </c>
      <c r="F17" s="268" t="s">
        <v>2246</v>
      </c>
      <c r="G17" s="268" t="s">
        <v>2247</v>
      </c>
      <c r="H17" s="268" t="s">
        <v>1294</v>
      </c>
      <c r="I17" s="268">
        <v>1</v>
      </c>
      <c r="J17" s="466">
        <v>44015</v>
      </c>
      <c r="K17" s="466">
        <v>44196</v>
      </c>
      <c r="L17" s="467">
        <f t="shared" si="0"/>
        <v>25.857142857142858</v>
      </c>
      <c r="M17" s="466">
        <v>44165</v>
      </c>
      <c r="N17" s="467">
        <f t="shared" si="1"/>
        <v>-4.4285714285714288</v>
      </c>
      <c r="O17" s="818" t="str">
        <f t="shared" ca="1" si="2"/>
        <v>Alerta</v>
      </c>
      <c r="P17" s="257">
        <v>1</v>
      </c>
      <c r="Q17" s="824">
        <f t="shared" si="3"/>
        <v>1</v>
      </c>
      <c r="R17" s="265"/>
      <c r="S17" s="265"/>
      <c r="T17" s="265"/>
      <c r="U17" s="820" t="str">
        <f t="shared" si="4"/>
        <v>Cumple</v>
      </c>
      <c r="V17" s="257" t="s">
        <v>2248</v>
      </c>
      <c r="W17" s="265"/>
      <c r="X17" s="265"/>
      <c r="Y17" s="268" t="s">
        <v>2249</v>
      </c>
      <c r="Z17" s="822"/>
    </row>
    <row r="18" spans="1:27" s="823" customFormat="1" ht="213" customHeight="1" thickBot="1" x14ac:dyDescent="0.25">
      <c r="A18" s="816">
        <v>15</v>
      </c>
      <c r="B18" s="265" t="s">
        <v>2155</v>
      </c>
      <c r="C18" s="265" t="s">
        <v>2156</v>
      </c>
      <c r="D18" s="257" t="s">
        <v>2250</v>
      </c>
      <c r="E18" s="268" t="s">
        <v>2251</v>
      </c>
      <c r="F18" s="268" t="s">
        <v>2252</v>
      </c>
      <c r="G18" s="268" t="s">
        <v>2253</v>
      </c>
      <c r="H18" s="268" t="s">
        <v>2254</v>
      </c>
      <c r="I18" s="268">
        <v>1</v>
      </c>
      <c r="J18" s="466">
        <v>44015</v>
      </c>
      <c r="K18" s="466">
        <v>44196</v>
      </c>
      <c r="L18" s="467">
        <f t="shared" si="0"/>
        <v>25.857142857142858</v>
      </c>
      <c r="M18" s="466">
        <v>44165</v>
      </c>
      <c r="N18" s="467">
        <f t="shared" si="1"/>
        <v>-4.4285714285714288</v>
      </c>
      <c r="O18" s="818" t="str">
        <f t="shared" ca="1" si="2"/>
        <v>Alerta</v>
      </c>
      <c r="P18" s="257">
        <v>1</v>
      </c>
      <c r="Q18" s="824">
        <f t="shared" si="3"/>
        <v>1</v>
      </c>
      <c r="R18" s="265"/>
      <c r="S18" s="265"/>
      <c r="T18" s="265"/>
      <c r="U18" s="820" t="str">
        <f t="shared" si="4"/>
        <v>Cumple</v>
      </c>
      <c r="V18" s="257" t="s">
        <v>2255</v>
      </c>
      <c r="W18" s="265"/>
      <c r="X18" s="265"/>
      <c r="Y18" s="257" t="s">
        <v>2256</v>
      </c>
      <c r="Z18" s="822"/>
    </row>
    <row r="19" spans="1:27" s="823" customFormat="1" ht="273.95" customHeight="1" thickBot="1" x14ac:dyDescent="0.25">
      <c r="A19" s="816">
        <v>16</v>
      </c>
      <c r="B19" s="265" t="s">
        <v>2155</v>
      </c>
      <c r="C19" s="265" t="s">
        <v>2156</v>
      </c>
      <c r="D19" s="257" t="s">
        <v>2257</v>
      </c>
      <c r="E19" s="268" t="s">
        <v>2258</v>
      </c>
      <c r="F19" s="268" t="s">
        <v>2259</v>
      </c>
      <c r="G19" s="268" t="s">
        <v>2260</v>
      </c>
      <c r="H19" s="268" t="s">
        <v>2261</v>
      </c>
      <c r="I19" s="268">
        <v>1</v>
      </c>
      <c r="J19" s="466">
        <v>44015</v>
      </c>
      <c r="K19" s="466">
        <v>44196</v>
      </c>
      <c r="L19" s="467">
        <f t="shared" si="0"/>
        <v>25.857142857142858</v>
      </c>
      <c r="M19" s="466">
        <v>44165</v>
      </c>
      <c r="N19" s="467">
        <f t="shared" si="1"/>
        <v>-4.4285714285714288</v>
      </c>
      <c r="O19" s="818" t="str">
        <f t="shared" ca="1" si="2"/>
        <v>Alerta</v>
      </c>
      <c r="P19" s="257">
        <v>1</v>
      </c>
      <c r="Q19" s="824">
        <f t="shared" si="3"/>
        <v>1</v>
      </c>
      <c r="R19" s="265"/>
      <c r="S19" s="265"/>
      <c r="T19" s="265"/>
      <c r="U19" s="820" t="str">
        <f t="shared" si="4"/>
        <v>Cumple</v>
      </c>
      <c r="V19" s="257" t="s">
        <v>2262</v>
      </c>
      <c r="W19" s="265"/>
      <c r="X19" s="265"/>
      <c r="Y19" s="257" t="s">
        <v>2263</v>
      </c>
      <c r="Z19" s="822"/>
    </row>
    <row r="20" spans="1:27" s="823" customFormat="1" ht="387" thickBot="1" x14ac:dyDescent="0.25">
      <c r="A20" s="816">
        <v>17</v>
      </c>
      <c r="B20" s="265" t="s">
        <v>2155</v>
      </c>
      <c r="C20" s="265" t="s">
        <v>2156</v>
      </c>
      <c r="D20" s="257" t="s">
        <v>2264</v>
      </c>
      <c r="E20" s="268" t="s">
        <v>2265</v>
      </c>
      <c r="F20" s="268" t="s">
        <v>2266</v>
      </c>
      <c r="G20" s="268" t="s">
        <v>2267</v>
      </c>
      <c r="H20" s="268" t="s">
        <v>2268</v>
      </c>
      <c r="I20" s="268">
        <v>1</v>
      </c>
      <c r="J20" s="466">
        <v>44015</v>
      </c>
      <c r="K20" s="466">
        <v>44196</v>
      </c>
      <c r="L20" s="467">
        <f t="shared" si="0"/>
        <v>25.857142857142858</v>
      </c>
      <c r="M20" s="466">
        <v>44165</v>
      </c>
      <c r="N20" s="467">
        <f t="shared" si="1"/>
        <v>-4.4285714285714288</v>
      </c>
      <c r="O20" s="818" t="str">
        <f t="shared" ca="1" si="2"/>
        <v>Alerta</v>
      </c>
      <c r="P20" s="257">
        <v>1</v>
      </c>
      <c r="Q20" s="824">
        <f t="shared" si="3"/>
        <v>1</v>
      </c>
      <c r="R20" s="265"/>
      <c r="S20" s="265"/>
      <c r="T20" s="265"/>
      <c r="U20" s="820" t="str">
        <f t="shared" si="4"/>
        <v>Cumple</v>
      </c>
      <c r="V20" s="265" t="s">
        <v>2269</v>
      </c>
      <c r="W20" s="265"/>
      <c r="X20" s="265"/>
      <c r="Y20" s="257" t="s">
        <v>2270</v>
      </c>
      <c r="Z20" s="822"/>
    </row>
    <row r="21" spans="1:27" s="823" customFormat="1" ht="329.25" thickBot="1" x14ac:dyDescent="0.25">
      <c r="A21" s="816">
        <v>18</v>
      </c>
      <c r="B21" s="265" t="s">
        <v>2155</v>
      </c>
      <c r="C21" s="265" t="s">
        <v>2156</v>
      </c>
      <c r="D21" s="257" t="s">
        <v>2271</v>
      </c>
      <c r="E21" s="268" t="s">
        <v>2272</v>
      </c>
      <c r="F21" s="268" t="s">
        <v>2273</v>
      </c>
      <c r="G21" s="268" t="s">
        <v>2274</v>
      </c>
      <c r="H21" s="268" t="s">
        <v>2275</v>
      </c>
      <c r="I21" s="268">
        <v>1</v>
      </c>
      <c r="J21" s="466">
        <v>44015</v>
      </c>
      <c r="K21" s="466">
        <v>44196</v>
      </c>
      <c r="L21" s="467">
        <f t="shared" si="0"/>
        <v>25.857142857142858</v>
      </c>
      <c r="M21" s="466">
        <v>44742</v>
      </c>
      <c r="N21" s="467">
        <f t="shared" si="1"/>
        <v>78</v>
      </c>
      <c r="O21" s="818" t="str">
        <f t="shared" ca="1" si="2"/>
        <v>Alerta</v>
      </c>
      <c r="P21" s="257">
        <v>1</v>
      </c>
      <c r="Q21" s="824">
        <f t="shared" si="3"/>
        <v>1</v>
      </c>
      <c r="R21" s="265"/>
      <c r="S21" s="265"/>
      <c r="T21" s="265"/>
      <c r="U21" s="820" t="str">
        <f t="shared" si="4"/>
        <v>Incumple</v>
      </c>
      <c r="V21" s="257" t="s">
        <v>2276</v>
      </c>
      <c r="W21" s="267" t="s">
        <v>2277</v>
      </c>
      <c r="X21" s="265"/>
      <c r="Y21" s="257" t="s">
        <v>2278</v>
      </c>
      <c r="Z21" s="822"/>
    </row>
    <row r="22" spans="1:27" s="823" customFormat="1" ht="238.5" customHeight="1" thickBot="1" x14ac:dyDescent="0.25">
      <c r="A22" s="816">
        <v>19</v>
      </c>
      <c r="B22" s="265" t="s">
        <v>2155</v>
      </c>
      <c r="C22" s="265" t="s">
        <v>2156</v>
      </c>
      <c r="D22" s="261" t="s">
        <v>2279</v>
      </c>
      <c r="E22" s="268" t="s">
        <v>2280</v>
      </c>
      <c r="F22" s="268" t="s">
        <v>2281</v>
      </c>
      <c r="G22" s="268" t="s">
        <v>2282</v>
      </c>
      <c r="H22" s="268" t="s">
        <v>2283</v>
      </c>
      <c r="I22" s="268">
        <v>1</v>
      </c>
      <c r="J22" s="466">
        <v>44015</v>
      </c>
      <c r="K22" s="817">
        <v>45657</v>
      </c>
      <c r="L22" s="467">
        <f t="shared" si="0"/>
        <v>234.57142857142858</v>
      </c>
      <c r="M22" s="468">
        <v>45656</v>
      </c>
      <c r="N22" s="467">
        <f t="shared" si="1"/>
        <v>-0.14285714285714285</v>
      </c>
      <c r="O22" s="818" t="str">
        <f t="shared" ca="1" si="2"/>
        <v>Alerta</v>
      </c>
      <c r="P22" s="819">
        <v>1</v>
      </c>
      <c r="Q22" s="493">
        <f>IF(P22/I22=1,1,+P22/I22)</f>
        <v>1</v>
      </c>
      <c r="R22" s="265"/>
      <c r="S22" s="265"/>
      <c r="T22" s="265"/>
      <c r="U22" s="820" t="str">
        <f t="shared" si="4"/>
        <v>Cumple</v>
      </c>
      <c r="V22" s="819" t="s">
        <v>2284</v>
      </c>
      <c r="W22" s="821" t="s">
        <v>2285</v>
      </c>
      <c r="X22" s="265"/>
      <c r="Y22" s="257" t="s">
        <v>2286</v>
      </c>
      <c r="Z22" s="822"/>
    </row>
    <row r="23" spans="1:27" s="823" customFormat="1" ht="200.25" thickBot="1" x14ac:dyDescent="0.25">
      <c r="A23" s="816">
        <v>19</v>
      </c>
      <c r="B23" s="265" t="s">
        <v>2155</v>
      </c>
      <c r="C23" s="265" t="s">
        <v>2156</v>
      </c>
      <c r="D23" s="257" t="s">
        <v>2287</v>
      </c>
      <c r="E23" s="268" t="s">
        <v>2280</v>
      </c>
      <c r="F23" s="268" t="s">
        <v>2288</v>
      </c>
      <c r="G23" s="268" t="s">
        <v>2289</v>
      </c>
      <c r="H23" s="268" t="s">
        <v>2290</v>
      </c>
      <c r="I23" s="268">
        <v>1</v>
      </c>
      <c r="J23" s="466">
        <v>44015</v>
      </c>
      <c r="K23" s="466">
        <v>44316</v>
      </c>
      <c r="L23" s="467">
        <f t="shared" si="0"/>
        <v>43</v>
      </c>
      <c r="M23" s="466">
        <v>44742</v>
      </c>
      <c r="N23" s="467">
        <f t="shared" si="1"/>
        <v>60.857142857142854</v>
      </c>
      <c r="O23" s="818" t="str">
        <f t="shared" ca="1" si="2"/>
        <v>Alerta</v>
      </c>
      <c r="P23" s="257">
        <v>1</v>
      </c>
      <c r="Q23" s="824">
        <f t="shared" si="3"/>
        <v>1</v>
      </c>
      <c r="R23" s="265"/>
      <c r="S23" s="265"/>
      <c r="T23" s="265"/>
      <c r="U23" s="820" t="str">
        <f t="shared" si="4"/>
        <v>Incumple</v>
      </c>
      <c r="V23" s="257" t="s">
        <v>2291</v>
      </c>
      <c r="W23" s="265"/>
      <c r="X23" s="265"/>
      <c r="Y23" s="257" t="s">
        <v>2292</v>
      </c>
      <c r="Z23" s="822"/>
    </row>
    <row r="24" spans="1:27" s="823" customFormat="1" ht="168.75" customHeight="1" thickBot="1" x14ac:dyDescent="0.25">
      <c r="A24" s="816">
        <v>19</v>
      </c>
      <c r="B24" s="265" t="s">
        <v>2155</v>
      </c>
      <c r="C24" s="265" t="s">
        <v>2156</v>
      </c>
      <c r="D24" s="257" t="s">
        <v>2293</v>
      </c>
      <c r="E24" s="268" t="s">
        <v>2294</v>
      </c>
      <c r="F24" s="268" t="s">
        <v>2295</v>
      </c>
      <c r="G24" s="268" t="s">
        <v>2296</v>
      </c>
      <c r="H24" s="268" t="s">
        <v>2297</v>
      </c>
      <c r="I24" s="268">
        <v>1</v>
      </c>
      <c r="J24" s="466">
        <v>44015</v>
      </c>
      <c r="K24" s="466">
        <v>44380</v>
      </c>
      <c r="L24" s="467">
        <f t="shared" si="0"/>
        <v>52.142857142857146</v>
      </c>
      <c r="M24" s="466">
        <v>44925</v>
      </c>
      <c r="N24" s="467">
        <f t="shared" si="1"/>
        <v>77.857142857142861</v>
      </c>
      <c r="O24" s="818" t="str">
        <f t="shared" ca="1" si="2"/>
        <v>Alerta</v>
      </c>
      <c r="P24" s="257">
        <v>1</v>
      </c>
      <c r="Q24" s="824">
        <f t="shared" si="3"/>
        <v>1</v>
      </c>
      <c r="R24" s="265"/>
      <c r="S24" s="265"/>
      <c r="T24" s="265"/>
      <c r="U24" s="820" t="str">
        <f t="shared" si="4"/>
        <v>Incumple</v>
      </c>
      <c r="V24" s="257" t="s">
        <v>2298</v>
      </c>
      <c r="W24" s="265" t="s">
        <v>2299</v>
      </c>
      <c r="X24" s="265"/>
      <c r="Y24" s="257" t="s">
        <v>2292</v>
      </c>
      <c r="Z24" s="822"/>
    </row>
    <row r="25" spans="1:27" s="823" customFormat="1" ht="230.25" customHeight="1" thickBot="1" x14ac:dyDescent="0.25">
      <c r="A25" s="816">
        <v>19</v>
      </c>
      <c r="B25" s="265" t="s">
        <v>2155</v>
      </c>
      <c r="C25" s="265" t="s">
        <v>2156</v>
      </c>
      <c r="D25" s="257" t="s">
        <v>2300</v>
      </c>
      <c r="E25" s="268" t="s">
        <v>2301</v>
      </c>
      <c r="F25" s="268" t="s">
        <v>2302</v>
      </c>
      <c r="G25" s="268" t="s">
        <v>2303</v>
      </c>
      <c r="H25" s="268" t="s">
        <v>2304</v>
      </c>
      <c r="I25" s="268">
        <v>2</v>
      </c>
      <c r="J25" s="466">
        <v>44015</v>
      </c>
      <c r="K25" s="466">
        <v>44195</v>
      </c>
      <c r="L25" s="467">
        <f t="shared" si="0"/>
        <v>25.714285714285715</v>
      </c>
      <c r="M25" s="466">
        <v>44742</v>
      </c>
      <c r="N25" s="467">
        <f t="shared" si="1"/>
        <v>78.142857142857139</v>
      </c>
      <c r="O25" s="818" t="str">
        <f t="shared" ca="1" si="2"/>
        <v>Alerta</v>
      </c>
      <c r="P25" s="257">
        <v>2</v>
      </c>
      <c r="Q25" s="824">
        <f t="shared" si="3"/>
        <v>1</v>
      </c>
      <c r="R25" s="265"/>
      <c r="S25" s="265"/>
      <c r="T25" s="265"/>
      <c r="U25" s="820" t="str">
        <f t="shared" si="4"/>
        <v>Incumple</v>
      </c>
      <c r="V25" s="257" t="s">
        <v>2305</v>
      </c>
      <c r="W25" s="265" t="s">
        <v>2306</v>
      </c>
      <c r="X25" s="265"/>
      <c r="Y25" s="257" t="s">
        <v>2307</v>
      </c>
      <c r="Z25" s="822"/>
      <c r="AA25" s="826"/>
    </row>
    <row r="26" spans="1:27" s="823" customFormat="1" ht="298.5" customHeight="1" thickBot="1" x14ac:dyDescent="0.25">
      <c r="A26" s="816">
        <v>19</v>
      </c>
      <c r="B26" s="265" t="s">
        <v>2155</v>
      </c>
      <c r="C26" s="265" t="s">
        <v>2156</v>
      </c>
      <c r="D26" s="261" t="s">
        <v>2308</v>
      </c>
      <c r="E26" s="268" t="s">
        <v>2301</v>
      </c>
      <c r="F26" s="268" t="s">
        <v>2309</v>
      </c>
      <c r="G26" s="268" t="s">
        <v>2310</v>
      </c>
      <c r="H26" s="268" t="s">
        <v>2311</v>
      </c>
      <c r="I26" s="268">
        <v>1</v>
      </c>
      <c r="J26" s="466">
        <v>44015</v>
      </c>
      <c r="K26" s="466">
        <v>44195</v>
      </c>
      <c r="L26" s="467">
        <f>(K26-J26)/7</f>
        <v>25.714285714285715</v>
      </c>
      <c r="M26" s="468">
        <v>45485</v>
      </c>
      <c r="N26" s="467">
        <f>(M26-K26)/7</f>
        <v>184.28571428571428</v>
      </c>
      <c r="O26" s="818" t="str">
        <f ca="1">IF((K26-TODAY())/7&gt;=L26/4,"En tiempo","Alerta")</f>
        <v>Alerta</v>
      </c>
      <c r="P26" s="257">
        <v>1</v>
      </c>
      <c r="Q26" s="493">
        <f>IF(P26/I26=1,1,+P26/I26)</f>
        <v>1</v>
      </c>
      <c r="R26" s="265"/>
      <c r="S26" s="265"/>
      <c r="T26" s="265"/>
      <c r="U26" s="820" t="str">
        <f>IF(M26&lt;=K26,"Cumple","Incumple")</f>
        <v>Incumple</v>
      </c>
      <c r="V26" s="827" t="s">
        <v>2312</v>
      </c>
      <c r="W26" s="827" t="s">
        <v>2313</v>
      </c>
      <c r="X26" s="265"/>
      <c r="Y26" s="257" t="s">
        <v>2307</v>
      </c>
      <c r="Z26" s="822"/>
    </row>
    <row r="27" spans="1:27" s="823" customFormat="1" ht="323.25" customHeight="1" thickBot="1" x14ac:dyDescent="0.25">
      <c r="A27" s="816">
        <v>19</v>
      </c>
      <c r="B27" s="265" t="s">
        <v>2155</v>
      </c>
      <c r="C27" s="265" t="s">
        <v>2156</v>
      </c>
      <c r="D27" s="257" t="s">
        <v>2314</v>
      </c>
      <c r="E27" s="268" t="s">
        <v>2280</v>
      </c>
      <c r="F27" s="268" t="s">
        <v>2315</v>
      </c>
      <c r="G27" s="268" t="s">
        <v>2282</v>
      </c>
      <c r="H27" s="268" t="s">
        <v>2283</v>
      </c>
      <c r="I27" s="268">
        <v>2</v>
      </c>
      <c r="J27" s="466">
        <v>44015</v>
      </c>
      <c r="K27" s="817">
        <v>45657</v>
      </c>
      <c r="L27" s="467">
        <f>(K27-J27)/7</f>
        <v>234.57142857142858</v>
      </c>
      <c r="M27" s="468">
        <v>45656</v>
      </c>
      <c r="N27" s="467">
        <f>(M27-K27)/7</f>
        <v>-0.14285714285714285</v>
      </c>
      <c r="O27" s="818" t="str">
        <f ca="1">IF((K27-TODAY())/7&gt;=L27/4,"En tiempo","Alerta")</f>
        <v>Alerta</v>
      </c>
      <c r="P27" s="819">
        <v>2</v>
      </c>
      <c r="Q27" s="493">
        <f>IF(P27/I27=1,1,+P27/I27)</f>
        <v>1</v>
      </c>
      <c r="R27" s="265"/>
      <c r="S27" s="265"/>
      <c r="T27" s="265"/>
      <c r="U27" s="820" t="str">
        <f>IF(M27&lt;=K27,"Cumple","Incumple")</f>
        <v>Cumple</v>
      </c>
      <c r="V27" s="819" t="s">
        <v>2284</v>
      </c>
      <c r="W27" s="821" t="s">
        <v>2316</v>
      </c>
      <c r="X27" s="265"/>
      <c r="Y27" s="257" t="s">
        <v>2286</v>
      </c>
      <c r="Z27" s="822"/>
    </row>
    <row r="28" spans="1:27" s="823" customFormat="1" ht="255" customHeight="1" thickBot="1" x14ac:dyDescent="0.25">
      <c r="A28" s="816">
        <v>19</v>
      </c>
      <c r="B28" s="265" t="s">
        <v>2155</v>
      </c>
      <c r="C28" s="265" t="s">
        <v>2156</v>
      </c>
      <c r="D28" s="257" t="s">
        <v>2300</v>
      </c>
      <c r="E28" s="268" t="s">
        <v>2301</v>
      </c>
      <c r="F28" s="268" t="s">
        <v>2302</v>
      </c>
      <c r="G28" s="268" t="s">
        <v>2317</v>
      </c>
      <c r="H28" s="268" t="s">
        <v>2318</v>
      </c>
      <c r="I28" s="268">
        <v>1</v>
      </c>
      <c r="J28" s="466">
        <v>42051</v>
      </c>
      <c r="K28" s="817">
        <v>42154</v>
      </c>
      <c r="L28" s="467">
        <f>(K28-J28)/7</f>
        <v>14.714285714285714</v>
      </c>
      <c r="M28" s="468">
        <v>45656</v>
      </c>
      <c r="N28" s="467">
        <f t="shared" si="1"/>
        <v>500.28571428571428</v>
      </c>
      <c r="O28" s="818" t="str">
        <f t="shared" ca="1" si="2"/>
        <v>Alerta</v>
      </c>
      <c r="P28" s="819">
        <v>1</v>
      </c>
      <c r="Q28" s="493">
        <f t="shared" si="3"/>
        <v>1</v>
      </c>
      <c r="R28" s="265"/>
      <c r="S28" s="265"/>
      <c r="T28" s="265"/>
      <c r="U28" s="820" t="str">
        <f t="shared" si="4"/>
        <v>Incumple</v>
      </c>
      <c r="V28" s="819" t="s">
        <v>2319</v>
      </c>
      <c r="W28" s="821" t="s">
        <v>2320</v>
      </c>
      <c r="X28" s="265"/>
      <c r="Y28" s="257" t="s">
        <v>2307</v>
      </c>
      <c r="Z28" s="822"/>
      <c r="AA28" s="826"/>
    </row>
    <row r="29" spans="1:27" s="823" customFormat="1" ht="170.25" customHeight="1" thickBot="1" x14ac:dyDescent="0.25">
      <c r="A29" s="816">
        <v>19</v>
      </c>
      <c r="B29" s="265" t="s">
        <v>2155</v>
      </c>
      <c r="C29" s="265" t="s">
        <v>2156</v>
      </c>
      <c r="D29" s="261" t="s">
        <v>2321</v>
      </c>
      <c r="E29" s="268" t="s">
        <v>2301</v>
      </c>
      <c r="F29" s="268" t="s">
        <v>2309</v>
      </c>
      <c r="G29" s="268" t="s">
        <v>2322</v>
      </c>
      <c r="H29" s="268" t="s">
        <v>2323</v>
      </c>
      <c r="I29" s="268">
        <v>1</v>
      </c>
      <c r="J29" s="466">
        <v>42051</v>
      </c>
      <c r="K29" s="817">
        <v>42154</v>
      </c>
      <c r="L29" s="467">
        <f>(K29-J29)/7</f>
        <v>14.714285714285714</v>
      </c>
      <c r="M29" s="468">
        <v>45656</v>
      </c>
      <c r="N29" s="467">
        <f t="shared" ref="N29" si="5">(M29-K29)/7</f>
        <v>500.28571428571428</v>
      </c>
      <c r="O29" s="818" t="str">
        <f t="shared" ref="O29" ca="1" si="6">IF((K29-TODAY())/7&gt;=L29/4,"En tiempo","Alerta")</f>
        <v>Alerta</v>
      </c>
      <c r="P29" s="819">
        <v>1</v>
      </c>
      <c r="Q29" s="493">
        <f>IF(P29/I29=1,1,+P29/I29)</f>
        <v>1</v>
      </c>
      <c r="R29" s="265"/>
      <c r="S29" s="265"/>
      <c r="T29" s="265"/>
      <c r="U29" s="820" t="str">
        <f t="shared" si="4"/>
        <v>Incumple</v>
      </c>
      <c r="V29" s="819" t="s">
        <v>2319</v>
      </c>
      <c r="W29" s="821" t="s">
        <v>2320</v>
      </c>
      <c r="X29" s="265"/>
      <c r="Y29" s="257" t="s">
        <v>2307</v>
      </c>
      <c r="Z29" s="822"/>
    </row>
    <row r="30" spans="1:27" ht="15.75" thickBot="1" x14ac:dyDescent="0.25">
      <c r="A30" s="90"/>
      <c r="B30" s="90"/>
      <c r="C30" s="90"/>
      <c r="D30" s="90"/>
      <c r="E30" s="90"/>
      <c r="F30" s="90"/>
      <c r="G30" s="85"/>
      <c r="H30" s="130" t="s">
        <v>2324</v>
      </c>
      <c r="I30" s="128">
        <f>SUM(I4:I29)</f>
        <v>34</v>
      </c>
      <c r="J30" s="129"/>
      <c r="K30" s="92"/>
      <c r="L30" s="90"/>
      <c r="M30" s="92"/>
      <c r="N30" s="90"/>
      <c r="O30" s="85"/>
      <c r="P30" s="128">
        <f>SUM(P4:P29)</f>
        <v>34</v>
      </c>
      <c r="Q30" s="111">
        <f>AVERAGE(Q4:Q29)</f>
        <v>1</v>
      </c>
      <c r="R30" s="86"/>
      <c r="S30" s="90"/>
      <c r="T30" s="85"/>
      <c r="U30" s="127">
        <f>(COUNTIF(U4:U29,"Cumple")*100%)/COUNTA(U4:U29)</f>
        <v>0.5</v>
      </c>
      <c r="V30" s="86"/>
      <c r="W30" s="90"/>
      <c r="X30" s="90"/>
      <c r="Y30" s="90"/>
    </row>
    <row r="31" spans="1:27" ht="15" x14ac:dyDescent="0.2">
      <c r="H31" s="90"/>
      <c r="I31" s="90"/>
      <c r="P31" s="90"/>
      <c r="Q31" s="90"/>
      <c r="U31" s="90"/>
      <c r="V31" s="91"/>
    </row>
  </sheetData>
  <autoFilter ref="A3:AB30" xr:uid="{00000000-0001-0000-0D00-000000000000}"/>
  <mergeCells count="1">
    <mergeCell ref="A1:Y2"/>
  </mergeCells>
  <conditionalFormatting sqref="O4:O29">
    <cfRule type="containsText" dxfId="84" priority="27" operator="containsText" text="Alerta">
      <formula>NOT(ISERROR(SEARCH("Alerta",O4)))</formula>
    </cfRule>
    <cfRule type="containsText" dxfId="83" priority="28" operator="containsText" text="En tiempo">
      <formula>NOT(ISERROR(SEARCH("En tiempo",O4)))</formula>
    </cfRule>
  </conditionalFormatting>
  <conditionalFormatting sqref="Q3">
    <cfRule type="cellIs" dxfId="82" priority="17" stopIfTrue="1" operator="between">
      <formula>0.9</formula>
      <formula>1</formula>
    </cfRule>
    <cfRule type="cellIs" dxfId="81" priority="18" stopIfTrue="1" operator="between">
      <formula>0.5</formula>
      <formula>0.89</formula>
    </cfRule>
    <cfRule type="cellIs" dxfId="80" priority="19" stopIfTrue="1" operator="between">
      <formula>0.2</formula>
      <formula>0.49</formula>
    </cfRule>
    <cfRule type="cellIs" dxfId="79" priority="20" stopIfTrue="1" operator="between">
      <formula>0</formula>
      <formula>0.19</formula>
    </cfRule>
  </conditionalFormatting>
  <conditionalFormatting sqref="Q4">
    <cfRule type="cellIs" dxfId="78" priority="5" stopIfTrue="1" operator="between">
      <formula>0.8</formula>
      <formula>1</formula>
    </cfRule>
    <cfRule type="cellIs" dxfId="77" priority="6" stopIfTrue="1" operator="between">
      <formula>0.5</formula>
      <formula>0.79</formula>
    </cfRule>
    <cfRule type="cellIs" dxfId="76" priority="7" stopIfTrue="1" operator="between">
      <formula>0.3</formula>
      <formula>0.49</formula>
    </cfRule>
    <cfRule type="cellIs" dxfId="75" priority="8" stopIfTrue="1" operator="between">
      <formula>0</formula>
      <formula>0.29</formula>
    </cfRule>
  </conditionalFormatting>
  <conditionalFormatting sqref="Q5:Q11 Q13:Q21 Q23:Q25">
    <cfRule type="cellIs" dxfId="74" priority="21" operator="between">
      <formula>0.19</formula>
      <formula>0</formula>
    </cfRule>
    <cfRule type="cellIs" dxfId="73" priority="22" operator="between">
      <formula>0.49</formula>
      <formula>0.2</formula>
    </cfRule>
    <cfRule type="cellIs" dxfId="72" priority="23" operator="between">
      <formula>0.89</formula>
      <formula>0.5</formula>
    </cfRule>
    <cfRule type="cellIs" dxfId="71" priority="24" operator="between">
      <formula>1</formula>
      <formula>0.9</formula>
    </cfRule>
  </conditionalFormatting>
  <conditionalFormatting sqref="Q12 Q22 Q26:Q30">
    <cfRule type="cellIs" dxfId="70" priority="1" stopIfTrue="1" operator="between">
      <formula>0.8</formula>
      <formula>1</formula>
    </cfRule>
    <cfRule type="cellIs" dxfId="69" priority="2" stopIfTrue="1" operator="between">
      <formula>0.5</formula>
      <formula>0.79</formula>
    </cfRule>
    <cfRule type="cellIs" dxfId="68" priority="3" stopIfTrue="1" operator="between">
      <formula>0.3</formula>
      <formula>0.49</formula>
    </cfRule>
    <cfRule type="cellIs" dxfId="67" priority="4" stopIfTrue="1" operator="between">
      <formula>0</formula>
      <formula>0.29</formula>
    </cfRule>
  </conditionalFormatting>
  <conditionalFormatting sqref="U4:U29">
    <cfRule type="containsText" dxfId="66" priority="25" operator="containsText" text="Incumple">
      <formula>NOT(ISERROR(SEARCH("Incumple",U4)))</formula>
    </cfRule>
    <cfRule type="containsText" dxfId="65" priority="26" operator="containsText" text="Cumple">
      <formula>NOT(ISERROR(SEARCH("Cumple",U4)))</formula>
    </cfRule>
  </conditionalFormatting>
  <conditionalFormatting sqref="U30">
    <cfRule type="cellIs" dxfId="64" priority="13" operator="between">
      <formula>0.19</formula>
      <formula>0</formula>
    </cfRule>
    <cfRule type="cellIs" dxfId="63" priority="14" operator="between">
      <formula>0.49</formula>
      <formula>0.2</formula>
    </cfRule>
    <cfRule type="cellIs" dxfId="62" priority="15" operator="between">
      <formula>0.89</formula>
      <formula>0.5</formula>
    </cfRule>
    <cfRule type="cellIs" dxfId="61" priority="16" operator="between">
      <formula>1</formula>
      <formula>0.9</formula>
    </cfRule>
  </conditionalFormatting>
  <dataValidations count="8">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4" xr:uid="{00000000-0002-0000-0D00-00000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4" xr:uid="{00000000-0002-0000-0D00-00000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4" xr:uid="{00000000-0002-0000-0D00-000002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4" xr:uid="{00000000-0002-0000-0D00-000003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K4" xr:uid="{00000000-0002-0000-0D00-000004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4" xr:uid="{00000000-0002-0000-0D00-000005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4" xr:uid="{00000000-0002-0000-0D00-000006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4" xr:uid="{00000000-0002-0000-0D00-000007000000}">
      <formula1>0</formula1>
      <formula2>390</formula2>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C00CD-8DBF-4A08-B090-30A1BBE9626B}">
  <sheetPr>
    <tabColor theme="0"/>
  </sheetPr>
  <dimension ref="A1:AW29"/>
  <sheetViews>
    <sheetView topLeftCell="T1" zoomScale="82" zoomScaleNormal="82" workbookViewId="0">
      <selection activeCell="V8" sqref="V8"/>
    </sheetView>
  </sheetViews>
  <sheetFormatPr baseColWidth="10" defaultColWidth="17.5703125" defaultRowHeight="12.75" x14ac:dyDescent="0.2"/>
  <cols>
    <col min="1" max="1" width="11.7109375" style="53" customWidth="1"/>
    <col min="2" max="2" width="12.85546875" style="53" customWidth="1"/>
    <col min="3" max="3" width="69.28515625" style="53" customWidth="1"/>
    <col min="4" max="4" width="48" style="53" customWidth="1"/>
    <col min="5" max="5" width="27.5703125" style="53" customWidth="1"/>
    <col min="6" max="6" width="32.140625" style="53" customWidth="1"/>
    <col min="7" max="7" width="27.140625" style="53" customWidth="1"/>
    <col min="8" max="8" width="13.42578125" style="53" customWidth="1"/>
    <col min="9" max="9" width="26.5703125" style="53" customWidth="1"/>
    <col min="10" max="10" width="16.140625" style="53" customWidth="1"/>
    <col min="11" max="11" width="21.42578125" style="53" customWidth="1"/>
    <col min="12" max="12" width="20.5703125" style="53" customWidth="1"/>
    <col min="13" max="13" width="12.7109375" style="53" customWidth="1"/>
    <col min="14" max="14" width="14" style="53" customWidth="1"/>
    <col min="15" max="15" width="12" style="53" customWidth="1"/>
    <col min="16" max="16" width="18.28515625" style="53" customWidth="1"/>
    <col min="17" max="17" width="17" style="53" customWidth="1"/>
    <col min="18" max="18" width="11.5703125" style="53" customWidth="1"/>
    <col min="19" max="19" width="11.140625" style="53" customWidth="1"/>
    <col min="20" max="20" width="15" style="53" customWidth="1"/>
    <col min="21" max="21" width="16.5703125" style="53" customWidth="1"/>
    <col min="22" max="22" width="18.42578125" style="53" customWidth="1"/>
    <col min="23" max="23" width="16.7109375" style="53" customWidth="1"/>
    <col min="24" max="24" width="74.7109375" style="53" customWidth="1"/>
    <col min="25" max="25" width="63.5703125" style="53" customWidth="1"/>
    <col min="26" max="26" width="12.28515625" style="53" customWidth="1"/>
    <col min="27" max="27" width="13.42578125" style="53" customWidth="1"/>
    <col min="28" max="28" width="14.140625" style="53" customWidth="1"/>
    <col min="29" max="29" width="12.5703125" style="53" customWidth="1"/>
    <col min="30" max="30" width="107.28515625" style="53" customWidth="1"/>
    <col min="31" max="41" width="9.140625"/>
    <col min="42" max="42" width="28.5703125" hidden="1" customWidth="1"/>
    <col min="43" max="43" width="42" hidden="1" customWidth="1"/>
    <col min="44" max="44" width="17.5703125" hidden="1" customWidth="1"/>
    <col min="45" max="45" width="51.42578125" hidden="1" customWidth="1"/>
    <col min="46" max="46" width="8.5703125" hidden="1" customWidth="1"/>
    <col min="47" max="47" width="7.140625" hidden="1" customWidth="1"/>
    <col min="48" max="48" width="20.85546875" hidden="1" customWidth="1"/>
    <col min="49" max="49" width="17.5703125" hidden="1" customWidth="1"/>
    <col min="50" max="50" width="22.42578125" customWidth="1"/>
  </cols>
  <sheetData>
    <row r="1" spans="1:32" ht="105" customHeight="1" x14ac:dyDescent="0.2">
      <c r="A1" s="298" t="s">
        <v>0</v>
      </c>
      <c r="B1" s="298"/>
      <c r="C1" s="868" t="s">
        <v>1</v>
      </c>
      <c r="D1" s="870"/>
      <c r="E1" s="870"/>
      <c r="F1" s="870"/>
      <c r="G1" s="870"/>
      <c r="H1" s="870"/>
      <c r="I1" s="870"/>
      <c r="J1" s="870"/>
      <c r="K1" s="870"/>
      <c r="L1" s="870"/>
      <c r="M1" s="870"/>
      <c r="N1" s="869"/>
      <c r="O1" s="874"/>
      <c r="P1" s="875"/>
      <c r="Q1" s="874" t="s">
        <v>2</v>
      </c>
      <c r="R1" s="878"/>
      <c r="S1" s="878"/>
      <c r="T1" s="878"/>
      <c r="U1" s="878"/>
      <c r="V1" s="878"/>
      <c r="W1" s="878"/>
      <c r="X1" s="878"/>
      <c r="Y1" s="875"/>
      <c r="Z1" s="878" t="s">
        <v>2</v>
      </c>
      <c r="AA1" s="878"/>
      <c r="AB1" s="878"/>
      <c r="AC1" s="878"/>
      <c r="AD1" s="875"/>
    </row>
    <row r="2" spans="1:32" ht="29.25" customHeight="1" x14ac:dyDescent="0.2">
      <c r="A2" s="868" t="s">
        <v>197</v>
      </c>
      <c r="B2" s="869"/>
      <c r="C2" s="868" t="s">
        <v>4</v>
      </c>
      <c r="D2" s="870"/>
      <c r="E2" s="870"/>
      <c r="F2" s="869"/>
      <c r="G2" s="868" t="s">
        <v>5</v>
      </c>
      <c r="H2" s="869"/>
      <c r="I2" s="868" t="s">
        <v>6</v>
      </c>
      <c r="J2" s="870"/>
      <c r="K2" s="870"/>
      <c r="L2" s="870"/>
      <c r="M2" s="870"/>
      <c r="N2" s="869"/>
      <c r="O2" s="876"/>
      <c r="P2" s="877"/>
      <c r="Q2" s="879"/>
      <c r="R2" s="880"/>
      <c r="S2" s="880"/>
      <c r="T2" s="880"/>
      <c r="U2" s="880"/>
      <c r="V2" s="880"/>
      <c r="W2" s="880"/>
      <c r="X2" s="880"/>
      <c r="Y2" s="881"/>
      <c r="Z2" s="880"/>
      <c r="AA2" s="880"/>
      <c r="AB2" s="880"/>
      <c r="AC2" s="880"/>
      <c r="AD2" s="881"/>
    </row>
    <row r="3" spans="1:32" ht="20.25" customHeight="1" x14ac:dyDescent="0.2">
      <c r="A3" s="866" t="s">
        <v>7</v>
      </c>
      <c r="B3" s="867"/>
      <c r="C3" s="868" t="s">
        <v>198</v>
      </c>
      <c r="D3" s="870"/>
      <c r="E3" s="870"/>
      <c r="F3" s="869"/>
      <c r="G3" s="866" t="s">
        <v>9</v>
      </c>
      <c r="H3" s="867"/>
      <c r="I3" s="871">
        <v>43374</v>
      </c>
      <c r="J3" s="872"/>
      <c r="K3" s="872"/>
      <c r="L3" s="872"/>
      <c r="M3" s="872"/>
      <c r="N3" s="873"/>
      <c r="O3" s="866" t="s">
        <v>10</v>
      </c>
      <c r="P3" s="867"/>
      <c r="Q3" s="884">
        <v>45657</v>
      </c>
      <c r="R3" s="885"/>
      <c r="S3" s="885"/>
      <c r="T3" s="885"/>
      <c r="U3" s="885"/>
      <c r="V3" s="886"/>
      <c r="W3" s="890" t="s">
        <v>11</v>
      </c>
      <c r="X3" s="891"/>
      <c r="Y3" s="300" t="s">
        <v>199</v>
      </c>
      <c r="Z3" s="880"/>
      <c r="AA3" s="880"/>
      <c r="AB3" s="880"/>
      <c r="AC3" s="880"/>
      <c r="AD3" s="881"/>
    </row>
    <row r="4" spans="1:32" ht="40.5" customHeight="1" x14ac:dyDescent="0.2">
      <c r="A4" s="866" t="s">
        <v>13</v>
      </c>
      <c r="B4" s="867"/>
      <c r="C4" s="868" t="s">
        <v>200</v>
      </c>
      <c r="D4" s="870"/>
      <c r="E4" s="870"/>
      <c r="F4" s="869"/>
      <c r="G4" s="866" t="s">
        <v>15</v>
      </c>
      <c r="H4" s="867"/>
      <c r="I4" s="871">
        <v>44165</v>
      </c>
      <c r="J4" s="872"/>
      <c r="K4" s="872"/>
      <c r="L4" s="872"/>
      <c r="M4" s="872"/>
      <c r="N4" s="873"/>
      <c r="O4" s="866" t="s">
        <v>16</v>
      </c>
      <c r="P4" s="867"/>
      <c r="Q4" s="861" t="s">
        <v>17</v>
      </c>
      <c r="R4" s="861"/>
      <c r="S4" s="861"/>
      <c r="T4" s="866" t="s">
        <v>18</v>
      </c>
      <c r="U4" s="883"/>
      <c r="V4" s="887" t="s">
        <v>201</v>
      </c>
      <c r="W4" s="888"/>
      <c r="X4" s="888"/>
      <c r="Y4" s="889"/>
      <c r="Z4" s="882"/>
      <c r="AA4" s="882"/>
      <c r="AB4" s="882"/>
      <c r="AC4" s="882"/>
      <c r="AD4" s="877"/>
    </row>
    <row r="5" spans="1:32" ht="36" customHeight="1" x14ac:dyDescent="0.2">
      <c r="A5" s="899" t="s">
        <v>19</v>
      </c>
      <c r="B5" s="900"/>
      <c r="C5" s="900"/>
      <c r="D5" s="900"/>
      <c r="E5" s="900"/>
      <c r="F5" s="900"/>
      <c r="G5" s="900"/>
      <c r="H5" s="900"/>
      <c r="I5" s="900"/>
      <c r="J5" s="900"/>
      <c r="K5" s="900"/>
      <c r="L5" s="900"/>
      <c r="M5" s="900"/>
      <c r="N5" s="901"/>
      <c r="O5" s="893" t="s">
        <v>20</v>
      </c>
      <c r="P5" s="894"/>
      <c r="Q5" s="894"/>
      <c r="R5" s="894"/>
      <c r="S5" s="894"/>
      <c r="T5" s="894"/>
      <c r="U5" s="894"/>
      <c r="V5" s="894"/>
      <c r="W5" s="894"/>
      <c r="X5" s="894"/>
      <c r="Y5" s="895"/>
      <c r="Z5" s="896" t="s">
        <v>21</v>
      </c>
      <c r="AA5" s="897"/>
      <c r="AB5" s="897"/>
      <c r="AC5" s="897"/>
      <c r="AD5" s="898"/>
    </row>
    <row r="6" spans="1:32" ht="75.75" customHeight="1" x14ac:dyDescent="0.2">
      <c r="A6" s="156" t="s">
        <v>22</v>
      </c>
      <c r="B6" s="156" t="s">
        <v>23</v>
      </c>
      <c r="C6" s="156" t="s">
        <v>24</v>
      </c>
      <c r="D6" s="156" t="s">
        <v>25</v>
      </c>
      <c r="E6" s="156" t="s">
        <v>26</v>
      </c>
      <c r="F6" s="156" t="s">
        <v>27</v>
      </c>
      <c r="G6" s="156" t="s">
        <v>28</v>
      </c>
      <c r="H6" s="156" t="s">
        <v>29</v>
      </c>
      <c r="I6" s="156" t="s">
        <v>30</v>
      </c>
      <c r="J6" s="156" t="s">
        <v>31</v>
      </c>
      <c r="K6" s="156" t="s">
        <v>32</v>
      </c>
      <c r="L6" s="156" t="s">
        <v>33</v>
      </c>
      <c r="M6" s="156" t="s">
        <v>34</v>
      </c>
      <c r="N6" s="156" t="s">
        <v>35</v>
      </c>
      <c r="O6" s="157" t="s">
        <v>36</v>
      </c>
      <c r="P6" s="157" t="s">
        <v>37</v>
      </c>
      <c r="Q6" s="157" t="s">
        <v>38</v>
      </c>
      <c r="R6" s="157" t="s">
        <v>39</v>
      </c>
      <c r="S6" s="157" t="s">
        <v>40</v>
      </c>
      <c r="T6" s="157" t="s">
        <v>41</v>
      </c>
      <c r="U6" s="157" t="s">
        <v>42</v>
      </c>
      <c r="V6" s="157" t="s">
        <v>43</v>
      </c>
      <c r="W6" s="157" t="s">
        <v>44</v>
      </c>
      <c r="X6" s="157" t="s">
        <v>45</v>
      </c>
      <c r="Y6" s="157" t="s">
        <v>46</v>
      </c>
      <c r="Z6" s="158" t="s">
        <v>47</v>
      </c>
      <c r="AA6" s="158" t="s">
        <v>48</v>
      </c>
      <c r="AB6" s="158" t="s">
        <v>49</v>
      </c>
      <c r="AC6" s="158" t="s">
        <v>50</v>
      </c>
      <c r="AD6" s="158" t="s">
        <v>51</v>
      </c>
    </row>
    <row r="7" spans="1:32" s="226" customFormat="1" ht="143.25" customHeight="1" x14ac:dyDescent="0.2">
      <c r="A7" s="425" t="s">
        <v>202</v>
      </c>
      <c r="B7" s="425" t="s">
        <v>53</v>
      </c>
      <c r="C7" s="380" t="s">
        <v>203</v>
      </c>
      <c r="D7" s="380" t="s">
        <v>204</v>
      </c>
      <c r="E7" s="380" t="s">
        <v>205</v>
      </c>
      <c r="F7" s="380" t="s">
        <v>206</v>
      </c>
      <c r="G7" s="381" t="s">
        <v>207</v>
      </c>
      <c r="H7" s="381">
        <v>1</v>
      </c>
      <c r="I7" s="483" t="s">
        <v>208</v>
      </c>
      <c r="J7" s="484" t="s">
        <v>60</v>
      </c>
      <c r="K7" s="484" t="s">
        <v>61</v>
      </c>
      <c r="L7" s="356" t="s">
        <v>209</v>
      </c>
      <c r="M7" s="485">
        <v>43374</v>
      </c>
      <c r="N7" s="724">
        <v>43465</v>
      </c>
      <c r="O7" s="497">
        <f t="shared" ref="O7:O13" si="0">(N7-M7)/7</f>
        <v>13</v>
      </c>
      <c r="P7" s="140">
        <v>45510</v>
      </c>
      <c r="Q7" s="725">
        <v>43419</v>
      </c>
      <c r="R7" s="383">
        <f t="shared" ref="R7:R28" si="1">(Q7-M7)/7-O7</f>
        <v>-6.5714285714285712</v>
      </c>
      <c r="S7" s="384" t="str">
        <f ca="1">IF((N7-TODAY())/7&gt;=0,"En tiempo","Alerta")</f>
        <v>Alerta</v>
      </c>
      <c r="T7" s="385">
        <v>1</v>
      </c>
      <c r="U7" s="363">
        <f>IF(T7/H7=1,1,+T7/H7)</f>
        <v>1</v>
      </c>
      <c r="V7" s="386" t="str">
        <f>IF(R7&gt;O7,0%,IF(R7&lt;=0,"100%",1-(R7/O7)))</f>
        <v>100%</v>
      </c>
      <c r="W7" s="387" t="str">
        <f>IF(Q7&lt;=N7,"Cumple","Incumple")</f>
        <v>Cumple</v>
      </c>
      <c r="X7" s="726" t="s">
        <v>210</v>
      </c>
      <c r="Y7" s="727" t="s">
        <v>211</v>
      </c>
      <c r="Z7" s="386">
        <f>(U7+V7)/2</f>
        <v>1</v>
      </c>
      <c r="AA7" s="732">
        <v>1</v>
      </c>
      <c r="AB7" s="732">
        <v>1</v>
      </c>
      <c r="AC7" s="161">
        <f t="shared" ref="AC7:AC28" si="2">AVERAGE(Z7:AB7)</f>
        <v>1</v>
      </c>
      <c r="AD7" s="733" t="s">
        <v>3103</v>
      </c>
    </row>
    <row r="8" spans="1:32" s="226" customFormat="1" ht="404.25" customHeight="1" x14ac:dyDescent="0.2">
      <c r="A8" s="425" t="s">
        <v>202</v>
      </c>
      <c r="B8" s="425" t="s">
        <v>53</v>
      </c>
      <c r="C8" s="380" t="s">
        <v>203</v>
      </c>
      <c r="D8" s="380" t="s">
        <v>204</v>
      </c>
      <c r="E8" s="380" t="s">
        <v>205</v>
      </c>
      <c r="F8" s="380" t="s">
        <v>212</v>
      </c>
      <c r="G8" s="381" t="s">
        <v>213</v>
      </c>
      <c r="H8" s="381">
        <v>3</v>
      </c>
      <c r="I8" s="483" t="s">
        <v>214</v>
      </c>
      <c r="J8" s="484" t="s">
        <v>60</v>
      </c>
      <c r="K8" s="484" t="s">
        <v>215</v>
      </c>
      <c r="L8" s="356" t="s">
        <v>216</v>
      </c>
      <c r="M8" s="485">
        <v>43374</v>
      </c>
      <c r="N8" s="724">
        <v>43554</v>
      </c>
      <c r="O8" s="497">
        <f t="shared" si="0"/>
        <v>25.714285714285715</v>
      </c>
      <c r="P8" s="140">
        <v>43564</v>
      </c>
      <c r="Q8" s="725">
        <v>43564</v>
      </c>
      <c r="R8" s="383">
        <f t="shared" si="1"/>
        <v>1.428571428571427</v>
      </c>
      <c r="S8" s="384" t="str">
        <f t="shared" ref="S8:S14" ca="1" si="3">IF((N8-TODAY())/7&gt;=0,"En tiempo","Alerta")</f>
        <v>Alerta</v>
      </c>
      <c r="T8" s="385">
        <v>3</v>
      </c>
      <c r="U8" s="363">
        <f>IF(T8/H8=1,1,+T8/H8)</f>
        <v>1</v>
      </c>
      <c r="V8" s="386">
        <f t="shared" ref="V8:V12" si="4">IF(R8&gt;O8,0%,IF(R8&lt;=0,"100%",1-(R8/O8)))</f>
        <v>0.94444444444444453</v>
      </c>
      <c r="W8" s="387" t="str">
        <f>IF(Q8&lt;=N8,"Cumple","Incumple")</f>
        <v>Incumple</v>
      </c>
      <c r="X8" s="726" t="s">
        <v>217</v>
      </c>
      <c r="Y8" s="727" t="s">
        <v>218</v>
      </c>
      <c r="Z8" s="386">
        <f t="shared" ref="Z8:Z26" si="5">(U8+V8)/2</f>
        <v>0.97222222222222232</v>
      </c>
      <c r="AA8" s="732">
        <v>1</v>
      </c>
      <c r="AB8" s="732">
        <v>1</v>
      </c>
      <c r="AC8" s="161">
        <f t="shared" si="2"/>
        <v>0.99074074074074081</v>
      </c>
      <c r="AD8" s="733" t="s">
        <v>3104</v>
      </c>
    </row>
    <row r="9" spans="1:32" s="226" customFormat="1" ht="159.75" customHeight="1" x14ac:dyDescent="0.2">
      <c r="A9" s="425" t="s">
        <v>202</v>
      </c>
      <c r="B9" s="425" t="s">
        <v>53</v>
      </c>
      <c r="C9" s="380" t="s">
        <v>203</v>
      </c>
      <c r="D9" s="380" t="s">
        <v>219</v>
      </c>
      <c r="E9" s="380" t="s">
        <v>220</v>
      </c>
      <c r="F9" s="380" t="s">
        <v>221</v>
      </c>
      <c r="G9" s="381" t="s">
        <v>222</v>
      </c>
      <c r="H9" s="381">
        <v>1</v>
      </c>
      <c r="I9" s="483" t="s">
        <v>223</v>
      </c>
      <c r="J9" s="484" t="s">
        <v>60</v>
      </c>
      <c r="K9" s="484" t="s">
        <v>61</v>
      </c>
      <c r="L9" s="484" t="s">
        <v>209</v>
      </c>
      <c r="M9" s="485">
        <v>43374</v>
      </c>
      <c r="N9" s="724">
        <v>43830</v>
      </c>
      <c r="O9" s="497">
        <f t="shared" si="0"/>
        <v>65.142857142857139</v>
      </c>
      <c r="P9" s="140">
        <v>43564</v>
      </c>
      <c r="Q9" s="725">
        <v>43815</v>
      </c>
      <c r="R9" s="383">
        <f t="shared" si="1"/>
        <v>-2.1428571428571388</v>
      </c>
      <c r="S9" s="384" t="str">
        <f t="shared" ca="1" si="3"/>
        <v>Alerta</v>
      </c>
      <c r="T9" s="385">
        <v>1</v>
      </c>
      <c r="U9" s="363">
        <f t="shared" ref="U9:U26" si="6">IF(T9/H9=1,1,+T9/H9)</f>
        <v>1</v>
      </c>
      <c r="V9" s="386" t="str">
        <f t="shared" si="4"/>
        <v>100%</v>
      </c>
      <c r="W9" s="387" t="str">
        <f t="shared" ref="W9:W28" si="7">IF(Q9&lt;=N9,"Cumple","Incumple")</f>
        <v>Cumple</v>
      </c>
      <c r="X9" s="726" t="s">
        <v>224</v>
      </c>
      <c r="Y9" s="727" t="s">
        <v>225</v>
      </c>
      <c r="Z9" s="386">
        <f t="shared" si="5"/>
        <v>1</v>
      </c>
      <c r="AA9" s="732">
        <v>1</v>
      </c>
      <c r="AB9" s="732">
        <v>1</v>
      </c>
      <c r="AC9" s="161">
        <f t="shared" si="2"/>
        <v>1</v>
      </c>
      <c r="AD9" s="733" t="s">
        <v>3105</v>
      </c>
    </row>
    <row r="10" spans="1:32" s="226" customFormat="1" ht="170.25" customHeight="1" x14ac:dyDescent="0.2">
      <c r="A10" s="425" t="s">
        <v>202</v>
      </c>
      <c r="B10" s="425" t="s">
        <v>53</v>
      </c>
      <c r="C10" s="380" t="s">
        <v>203</v>
      </c>
      <c r="D10" s="380" t="s">
        <v>219</v>
      </c>
      <c r="E10" s="380" t="s">
        <v>220</v>
      </c>
      <c r="F10" s="380" t="s">
        <v>226</v>
      </c>
      <c r="G10" s="381" t="s">
        <v>222</v>
      </c>
      <c r="H10" s="381">
        <v>2</v>
      </c>
      <c r="I10" s="483" t="s">
        <v>223</v>
      </c>
      <c r="J10" s="484" t="s">
        <v>60</v>
      </c>
      <c r="K10" s="484" t="s">
        <v>61</v>
      </c>
      <c r="L10" s="484" t="s">
        <v>209</v>
      </c>
      <c r="M10" s="485">
        <v>43375</v>
      </c>
      <c r="N10" s="724">
        <v>43831</v>
      </c>
      <c r="O10" s="497">
        <f t="shared" si="0"/>
        <v>65.142857142857139</v>
      </c>
      <c r="P10" s="140">
        <v>45510</v>
      </c>
      <c r="Q10" s="725">
        <v>43564</v>
      </c>
      <c r="R10" s="383">
        <f t="shared" si="1"/>
        <v>-38.142857142857139</v>
      </c>
      <c r="S10" s="384" t="str">
        <f t="shared" ca="1" si="3"/>
        <v>Alerta</v>
      </c>
      <c r="T10" s="385">
        <v>2</v>
      </c>
      <c r="U10" s="363">
        <f t="shared" si="6"/>
        <v>1</v>
      </c>
      <c r="V10" s="386" t="str">
        <f t="shared" si="4"/>
        <v>100%</v>
      </c>
      <c r="W10" s="387" t="str">
        <f t="shared" si="7"/>
        <v>Cumple</v>
      </c>
      <c r="X10" s="726" t="s">
        <v>227</v>
      </c>
      <c r="Y10" s="727" t="s">
        <v>228</v>
      </c>
      <c r="Z10" s="386">
        <f t="shared" si="5"/>
        <v>1</v>
      </c>
      <c r="AA10" s="732">
        <v>1</v>
      </c>
      <c r="AB10" s="732">
        <v>1</v>
      </c>
      <c r="AC10" s="161">
        <f t="shared" si="2"/>
        <v>1</v>
      </c>
      <c r="AD10" s="733" t="s">
        <v>3106</v>
      </c>
    </row>
    <row r="11" spans="1:32" s="226" customFormat="1" ht="241.5" customHeight="1" x14ac:dyDescent="0.2">
      <c r="A11" s="425" t="s">
        <v>202</v>
      </c>
      <c r="B11" s="425" t="s">
        <v>53</v>
      </c>
      <c r="C11" s="380" t="s">
        <v>203</v>
      </c>
      <c r="D11" s="380" t="s">
        <v>229</v>
      </c>
      <c r="E11" s="380" t="s">
        <v>220</v>
      </c>
      <c r="F11" s="380" t="s">
        <v>230</v>
      </c>
      <c r="G11" s="381" t="s">
        <v>222</v>
      </c>
      <c r="H11" s="381">
        <v>1</v>
      </c>
      <c r="I11" s="483" t="s">
        <v>223</v>
      </c>
      <c r="J11" s="484" t="s">
        <v>60</v>
      </c>
      <c r="K11" s="484" t="s">
        <v>61</v>
      </c>
      <c r="L11" s="484" t="s">
        <v>209</v>
      </c>
      <c r="M11" s="485">
        <v>43376</v>
      </c>
      <c r="N11" s="724">
        <v>43832</v>
      </c>
      <c r="O11" s="497">
        <f t="shared" si="0"/>
        <v>65.142857142857139</v>
      </c>
      <c r="P11" s="140">
        <v>43564</v>
      </c>
      <c r="Q11" s="725">
        <v>43564</v>
      </c>
      <c r="R11" s="383">
        <f t="shared" si="1"/>
        <v>-38.285714285714278</v>
      </c>
      <c r="S11" s="384" t="str">
        <f t="shared" ca="1" si="3"/>
        <v>Alerta</v>
      </c>
      <c r="T11" s="385">
        <v>1</v>
      </c>
      <c r="U11" s="363">
        <f t="shared" si="6"/>
        <v>1</v>
      </c>
      <c r="V11" s="386" t="str">
        <f t="shared" si="4"/>
        <v>100%</v>
      </c>
      <c r="W11" s="387" t="str">
        <f t="shared" si="7"/>
        <v>Cumple</v>
      </c>
      <c r="X11" s="726" t="s">
        <v>227</v>
      </c>
      <c r="Y11" s="727" t="s">
        <v>231</v>
      </c>
      <c r="Z11" s="386">
        <f t="shared" si="5"/>
        <v>1</v>
      </c>
      <c r="AA11" s="732">
        <v>1</v>
      </c>
      <c r="AB11" s="732">
        <v>1</v>
      </c>
      <c r="AC11" s="161">
        <f t="shared" si="2"/>
        <v>1</v>
      </c>
      <c r="AD11" s="733" t="s">
        <v>3107</v>
      </c>
    </row>
    <row r="12" spans="1:32" s="226" customFormat="1" ht="198" customHeight="1" x14ac:dyDescent="0.2">
      <c r="A12" s="425" t="s">
        <v>202</v>
      </c>
      <c r="B12" s="425" t="s">
        <v>53</v>
      </c>
      <c r="C12" s="380" t="s">
        <v>203</v>
      </c>
      <c r="D12" s="380" t="s">
        <v>232</v>
      </c>
      <c r="E12" s="380" t="s">
        <v>220</v>
      </c>
      <c r="F12" s="380" t="s">
        <v>233</v>
      </c>
      <c r="G12" s="381" t="s">
        <v>222</v>
      </c>
      <c r="H12" s="381">
        <v>1</v>
      </c>
      <c r="I12" s="483" t="s">
        <v>223</v>
      </c>
      <c r="J12" s="484" t="s">
        <v>60</v>
      </c>
      <c r="K12" s="484" t="s">
        <v>61</v>
      </c>
      <c r="L12" s="484" t="s">
        <v>209</v>
      </c>
      <c r="M12" s="485">
        <v>43377</v>
      </c>
      <c r="N12" s="724">
        <v>43833</v>
      </c>
      <c r="O12" s="497">
        <f t="shared" si="0"/>
        <v>65.142857142857139</v>
      </c>
      <c r="P12" s="140">
        <v>45510</v>
      </c>
      <c r="Q12" s="725">
        <v>43564</v>
      </c>
      <c r="R12" s="383">
        <f t="shared" si="1"/>
        <v>-38.428571428571423</v>
      </c>
      <c r="S12" s="384" t="str">
        <f t="shared" ca="1" si="3"/>
        <v>Alerta</v>
      </c>
      <c r="T12" s="385">
        <v>1</v>
      </c>
      <c r="U12" s="363">
        <f t="shared" si="6"/>
        <v>1</v>
      </c>
      <c r="V12" s="386" t="str">
        <f t="shared" si="4"/>
        <v>100%</v>
      </c>
      <c r="W12" s="387" t="str">
        <f t="shared" si="7"/>
        <v>Cumple</v>
      </c>
      <c r="X12" s="726" t="s">
        <v>227</v>
      </c>
      <c r="Y12" s="727" t="s">
        <v>234</v>
      </c>
      <c r="Z12" s="386">
        <f t="shared" si="5"/>
        <v>1</v>
      </c>
      <c r="AA12" s="732">
        <v>1</v>
      </c>
      <c r="AB12" s="732">
        <v>1</v>
      </c>
      <c r="AC12" s="161">
        <f t="shared" si="2"/>
        <v>1</v>
      </c>
      <c r="AD12" s="733" t="s">
        <v>3108</v>
      </c>
    </row>
    <row r="13" spans="1:32" s="226" customFormat="1" ht="144.75" x14ac:dyDescent="0.2">
      <c r="A13" s="425" t="s">
        <v>202</v>
      </c>
      <c r="B13" s="425" t="s">
        <v>53</v>
      </c>
      <c r="C13" s="381" t="s">
        <v>235</v>
      </c>
      <c r="D13" s="381" t="s">
        <v>236</v>
      </c>
      <c r="E13" s="381" t="s">
        <v>237</v>
      </c>
      <c r="F13" s="380" t="s">
        <v>238</v>
      </c>
      <c r="G13" s="381" t="s">
        <v>239</v>
      </c>
      <c r="H13" s="381">
        <v>4</v>
      </c>
      <c r="I13" s="483" t="s">
        <v>240</v>
      </c>
      <c r="J13" s="484" t="s">
        <v>241</v>
      </c>
      <c r="K13" s="484" t="s">
        <v>61</v>
      </c>
      <c r="L13" s="484" t="s">
        <v>242</v>
      </c>
      <c r="M13" s="485">
        <v>43405</v>
      </c>
      <c r="N13" s="724">
        <v>43983</v>
      </c>
      <c r="O13" s="497">
        <f t="shared" si="0"/>
        <v>82.571428571428569</v>
      </c>
      <c r="P13" s="140">
        <v>45510</v>
      </c>
      <c r="Q13" s="725">
        <v>44165</v>
      </c>
      <c r="R13" s="383">
        <f t="shared" si="1"/>
        <v>26</v>
      </c>
      <c r="S13" s="384" t="str">
        <f t="shared" ca="1" si="3"/>
        <v>Alerta</v>
      </c>
      <c r="T13" s="385">
        <v>4</v>
      </c>
      <c r="U13" s="363">
        <f t="shared" si="6"/>
        <v>1</v>
      </c>
      <c r="V13" s="386">
        <f t="shared" ref="V13:V19" si="8">IF(R13&gt;O13,0%,IF(R13&lt;=0,"100%",1-(R13/O13)))</f>
        <v>0.68512110726643605</v>
      </c>
      <c r="W13" s="387" t="str">
        <f t="shared" si="7"/>
        <v>Incumple</v>
      </c>
      <c r="X13" s="728" t="s">
        <v>243</v>
      </c>
      <c r="Y13" s="727" t="s">
        <v>244</v>
      </c>
      <c r="Z13" s="386">
        <f t="shared" si="5"/>
        <v>0.84256055363321802</v>
      </c>
      <c r="AA13" s="732">
        <v>1</v>
      </c>
      <c r="AB13" s="732">
        <v>1</v>
      </c>
      <c r="AC13" s="161">
        <f t="shared" si="2"/>
        <v>0.94752018454440601</v>
      </c>
      <c r="AD13" s="733" t="s">
        <v>3109</v>
      </c>
    </row>
    <row r="14" spans="1:32" s="226" customFormat="1" ht="252" customHeight="1" x14ac:dyDescent="0.2">
      <c r="A14" s="425" t="s">
        <v>202</v>
      </c>
      <c r="B14" s="425" t="s">
        <v>53</v>
      </c>
      <c r="C14" s="381" t="s">
        <v>235</v>
      </c>
      <c r="D14" s="381" t="s">
        <v>236</v>
      </c>
      <c r="E14" s="381" t="s">
        <v>237</v>
      </c>
      <c r="F14" s="381" t="s">
        <v>245</v>
      </c>
      <c r="G14" s="381"/>
      <c r="H14" s="381">
        <v>2</v>
      </c>
      <c r="I14" s="483" t="s">
        <v>240</v>
      </c>
      <c r="J14" s="484" t="s">
        <v>241</v>
      </c>
      <c r="K14" s="484" t="s">
        <v>61</v>
      </c>
      <c r="L14" s="484" t="s">
        <v>242</v>
      </c>
      <c r="M14" s="485">
        <v>43406</v>
      </c>
      <c r="N14" s="724">
        <v>43984</v>
      </c>
      <c r="O14" s="497">
        <f t="shared" ref="O14:O28" si="9">(N14-M14)/7</f>
        <v>82.571428571428569</v>
      </c>
      <c r="P14" s="140">
        <v>45510</v>
      </c>
      <c r="Q14" s="724">
        <v>44165</v>
      </c>
      <c r="R14" s="383">
        <f t="shared" si="1"/>
        <v>25.857142857142861</v>
      </c>
      <c r="S14" s="384" t="str">
        <f t="shared" ca="1" si="3"/>
        <v>Alerta</v>
      </c>
      <c r="T14" s="385">
        <v>2</v>
      </c>
      <c r="U14" s="363">
        <f t="shared" si="6"/>
        <v>1</v>
      </c>
      <c r="V14" s="386">
        <f t="shared" si="8"/>
        <v>0.68685121107266434</v>
      </c>
      <c r="W14" s="387" t="str">
        <f t="shared" si="7"/>
        <v>Incumple</v>
      </c>
      <c r="X14" s="728" t="s">
        <v>3097</v>
      </c>
      <c r="Y14" s="727" t="s">
        <v>246</v>
      </c>
      <c r="Z14" s="386">
        <f t="shared" si="5"/>
        <v>0.84342560553633217</v>
      </c>
      <c r="AA14" s="732">
        <v>1</v>
      </c>
      <c r="AB14" s="732">
        <v>1</v>
      </c>
      <c r="AC14" s="161">
        <f t="shared" si="2"/>
        <v>0.94780853517877739</v>
      </c>
      <c r="AD14" s="733" t="s">
        <v>3110</v>
      </c>
    </row>
    <row r="15" spans="1:32" s="226" customFormat="1" ht="133.5" customHeight="1" x14ac:dyDescent="0.2">
      <c r="A15" s="425" t="s">
        <v>202</v>
      </c>
      <c r="B15" s="425" t="s">
        <v>53</v>
      </c>
      <c r="C15" s="381" t="s">
        <v>235</v>
      </c>
      <c r="D15" s="381" t="s">
        <v>236</v>
      </c>
      <c r="E15" s="381" t="s">
        <v>237</v>
      </c>
      <c r="F15" s="380" t="s">
        <v>247</v>
      </c>
      <c r="G15" s="381"/>
      <c r="H15" s="381">
        <v>1</v>
      </c>
      <c r="I15" s="483" t="s">
        <v>240</v>
      </c>
      <c r="J15" s="484" t="s">
        <v>241</v>
      </c>
      <c r="K15" s="484" t="s">
        <v>61</v>
      </c>
      <c r="L15" s="484" t="s">
        <v>242</v>
      </c>
      <c r="M15" s="485">
        <v>43407</v>
      </c>
      <c r="N15" s="724">
        <v>43985</v>
      </c>
      <c r="O15" s="497">
        <f t="shared" si="9"/>
        <v>82.571428571428569</v>
      </c>
      <c r="P15" s="140">
        <v>44165</v>
      </c>
      <c r="Q15" s="725">
        <v>44165</v>
      </c>
      <c r="R15" s="383">
        <f t="shared" si="1"/>
        <v>25.714285714285722</v>
      </c>
      <c r="S15" s="384" t="str">
        <f ca="1">IF((N15-TODAY())/7&gt;=0,"En tiempo","Alerta")</f>
        <v>Alerta</v>
      </c>
      <c r="T15" s="385">
        <v>1</v>
      </c>
      <c r="U15" s="363">
        <f t="shared" si="6"/>
        <v>1</v>
      </c>
      <c r="V15" s="386">
        <f t="shared" si="8"/>
        <v>0.68858131487889263</v>
      </c>
      <c r="W15" s="387" t="str">
        <f t="shared" si="7"/>
        <v>Incumple</v>
      </c>
      <c r="X15" s="729" t="s">
        <v>248</v>
      </c>
      <c r="Y15" s="727" t="s">
        <v>249</v>
      </c>
      <c r="Z15" s="386">
        <f t="shared" si="5"/>
        <v>0.84429065743944631</v>
      </c>
      <c r="AA15" s="732">
        <v>1</v>
      </c>
      <c r="AB15" s="732">
        <v>1</v>
      </c>
      <c r="AC15" s="161">
        <f t="shared" si="2"/>
        <v>0.94809688581314877</v>
      </c>
      <c r="AD15" s="733" t="s">
        <v>3111</v>
      </c>
    </row>
    <row r="16" spans="1:32" s="226" customFormat="1" ht="242.25" customHeight="1" x14ac:dyDescent="0.2">
      <c r="A16" s="425" t="s">
        <v>202</v>
      </c>
      <c r="B16" s="425" t="s">
        <v>53</v>
      </c>
      <c r="C16" s="381" t="s">
        <v>235</v>
      </c>
      <c r="D16" s="381" t="s">
        <v>250</v>
      </c>
      <c r="E16" s="381" t="s">
        <v>251</v>
      </c>
      <c r="F16" s="381" t="s">
        <v>252</v>
      </c>
      <c r="G16" s="381"/>
      <c r="H16" s="381">
        <v>4</v>
      </c>
      <c r="I16" s="483" t="s">
        <v>240</v>
      </c>
      <c r="J16" s="484" t="s">
        <v>241</v>
      </c>
      <c r="K16" s="484" t="s">
        <v>61</v>
      </c>
      <c r="L16" s="484" t="s">
        <v>242</v>
      </c>
      <c r="M16" s="485">
        <v>43408</v>
      </c>
      <c r="N16" s="724">
        <v>43986</v>
      </c>
      <c r="O16" s="497">
        <f t="shared" si="9"/>
        <v>82.571428571428569</v>
      </c>
      <c r="P16" s="140">
        <v>45510</v>
      </c>
      <c r="Q16" s="725">
        <f>P16</f>
        <v>45510</v>
      </c>
      <c r="R16" s="383">
        <f t="shared" si="1"/>
        <v>217.71428571428572</v>
      </c>
      <c r="S16" s="384" t="str">
        <f t="shared" ref="S16:S28" ca="1" si="10">IF((N16-TODAY())/7&gt;=0,"En tiempo","Alerta")</f>
        <v>Alerta</v>
      </c>
      <c r="T16" s="385">
        <v>4</v>
      </c>
      <c r="U16" s="363">
        <f t="shared" si="6"/>
        <v>1</v>
      </c>
      <c r="V16" s="386">
        <f t="shared" si="8"/>
        <v>0</v>
      </c>
      <c r="W16" s="387" t="str">
        <f>IF(Q16&lt;=N16,"Cumple","Incumple")</f>
        <v>Incumple</v>
      </c>
      <c r="X16" s="729" t="s">
        <v>253</v>
      </c>
      <c r="Y16" s="730" t="s">
        <v>3098</v>
      </c>
      <c r="Z16" s="386">
        <f>(U16+V16)/2</f>
        <v>0.5</v>
      </c>
      <c r="AA16" s="732">
        <v>1</v>
      </c>
      <c r="AB16" s="732">
        <v>1</v>
      </c>
      <c r="AC16" s="161">
        <f t="shared" si="2"/>
        <v>0.83333333333333337</v>
      </c>
      <c r="AD16" s="733" t="s">
        <v>3112</v>
      </c>
      <c r="AF16" s="249"/>
    </row>
    <row r="17" spans="1:30" s="226" customFormat="1" ht="230.25" x14ac:dyDescent="0.2">
      <c r="A17" s="425" t="s">
        <v>202</v>
      </c>
      <c r="B17" s="425" t="s">
        <v>53</v>
      </c>
      <c r="C17" s="380" t="s">
        <v>254</v>
      </c>
      <c r="D17" s="381" t="s">
        <v>255</v>
      </c>
      <c r="E17" s="381" t="s">
        <v>256</v>
      </c>
      <c r="F17" s="381" t="s">
        <v>257</v>
      </c>
      <c r="G17" s="381" t="s">
        <v>258</v>
      </c>
      <c r="H17" s="381">
        <v>1</v>
      </c>
      <c r="I17" s="483" t="s">
        <v>240</v>
      </c>
      <c r="J17" s="484" t="s">
        <v>60</v>
      </c>
      <c r="K17" s="484" t="s">
        <v>61</v>
      </c>
      <c r="L17" s="484" t="s">
        <v>259</v>
      </c>
      <c r="M17" s="485">
        <v>43739</v>
      </c>
      <c r="N17" s="724">
        <v>43768</v>
      </c>
      <c r="O17" s="497">
        <f t="shared" si="9"/>
        <v>4.1428571428571432</v>
      </c>
      <c r="P17" s="140">
        <v>44165</v>
      </c>
      <c r="Q17" s="725">
        <v>44165</v>
      </c>
      <c r="R17" s="383">
        <f t="shared" si="1"/>
        <v>56.714285714285708</v>
      </c>
      <c r="S17" s="384" t="str">
        <f t="shared" ca="1" si="10"/>
        <v>Alerta</v>
      </c>
      <c r="T17" s="385">
        <v>1</v>
      </c>
      <c r="U17" s="363">
        <f t="shared" si="6"/>
        <v>1</v>
      </c>
      <c r="V17" s="386">
        <f t="shared" si="8"/>
        <v>0</v>
      </c>
      <c r="W17" s="387" t="str">
        <f t="shared" si="7"/>
        <v>Incumple</v>
      </c>
      <c r="X17" s="731" t="s">
        <v>260</v>
      </c>
      <c r="Y17" s="730" t="s">
        <v>261</v>
      </c>
      <c r="Z17" s="386">
        <f>(U17+V17)/2</f>
        <v>0.5</v>
      </c>
      <c r="AA17" s="732">
        <v>1</v>
      </c>
      <c r="AB17" s="732">
        <v>1</v>
      </c>
      <c r="AC17" s="161">
        <f>AVERAGE(Z17:AB17)</f>
        <v>0.83333333333333337</v>
      </c>
      <c r="AD17" s="733" t="s">
        <v>3113</v>
      </c>
    </row>
    <row r="18" spans="1:30" s="226" customFormat="1" ht="180.75" customHeight="1" x14ac:dyDescent="0.2">
      <c r="A18" s="425" t="s">
        <v>202</v>
      </c>
      <c r="B18" s="425" t="s">
        <v>53</v>
      </c>
      <c r="C18" s="380" t="s">
        <v>254</v>
      </c>
      <c r="D18" s="381" t="s">
        <v>255</v>
      </c>
      <c r="E18" s="381" t="s">
        <v>256</v>
      </c>
      <c r="F18" s="381" t="s">
        <v>262</v>
      </c>
      <c r="G18" s="381"/>
      <c r="H18" s="381">
        <v>1</v>
      </c>
      <c r="I18" s="483" t="s">
        <v>240</v>
      </c>
      <c r="J18" s="484" t="s">
        <v>60</v>
      </c>
      <c r="K18" s="484" t="s">
        <v>61</v>
      </c>
      <c r="L18" s="484" t="s">
        <v>259</v>
      </c>
      <c r="M18" s="485">
        <v>43740</v>
      </c>
      <c r="N18" s="724">
        <v>43769</v>
      </c>
      <c r="O18" s="497">
        <f t="shared" si="9"/>
        <v>4.1428571428571432</v>
      </c>
      <c r="P18" s="140">
        <v>45510</v>
      </c>
      <c r="Q18" s="725">
        <v>45271</v>
      </c>
      <c r="R18" s="383">
        <f t="shared" si="1"/>
        <v>214.57142857142858</v>
      </c>
      <c r="S18" s="384" t="str">
        <f t="shared" ca="1" si="10"/>
        <v>Alerta</v>
      </c>
      <c r="T18" s="385">
        <v>1</v>
      </c>
      <c r="U18" s="363">
        <f t="shared" si="6"/>
        <v>1</v>
      </c>
      <c r="V18" s="386">
        <f t="shared" si="8"/>
        <v>0</v>
      </c>
      <c r="W18" s="387" t="str">
        <f>IF(Q18&lt;=N18,"Cumple","Incumple")</f>
        <v>Incumple</v>
      </c>
      <c r="X18" s="729" t="s">
        <v>260</v>
      </c>
      <c r="Y18" s="730" t="s">
        <v>263</v>
      </c>
      <c r="Z18" s="386">
        <f t="shared" si="5"/>
        <v>0.5</v>
      </c>
      <c r="AA18" s="732">
        <v>1</v>
      </c>
      <c r="AB18" s="732">
        <v>1</v>
      </c>
      <c r="AC18" s="161">
        <f>AVERAGE(Z18:AB18)</f>
        <v>0.83333333333333337</v>
      </c>
      <c r="AD18" s="733" t="s">
        <v>3114</v>
      </c>
    </row>
    <row r="19" spans="1:30" s="226" customFormat="1" ht="133.5" customHeight="1" x14ac:dyDescent="0.2">
      <c r="A19" s="425" t="s">
        <v>202</v>
      </c>
      <c r="B19" s="425" t="s">
        <v>53</v>
      </c>
      <c r="C19" s="380" t="s">
        <v>254</v>
      </c>
      <c r="D19" s="380" t="s">
        <v>264</v>
      </c>
      <c r="E19" s="380" t="s">
        <v>265</v>
      </c>
      <c r="F19" s="381" t="s">
        <v>266</v>
      </c>
      <c r="G19" s="381" t="s">
        <v>267</v>
      </c>
      <c r="H19" s="381">
        <v>1</v>
      </c>
      <c r="I19" s="483" t="s">
        <v>268</v>
      </c>
      <c r="J19" s="484" t="s">
        <v>60</v>
      </c>
      <c r="K19" s="484" t="s">
        <v>61</v>
      </c>
      <c r="L19" s="484" t="s">
        <v>269</v>
      </c>
      <c r="M19" s="485">
        <v>43374</v>
      </c>
      <c r="N19" s="724">
        <v>43768</v>
      </c>
      <c r="O19" s="497">
        <f t="shared" si="9"/>
        <v>56.285714285714285</v>
      </c>
      <c r="P19" s="140">
        <v>43564</v>
      </c>
      <c r="Q19" s="725">
        <v>43815</v>
      </c>
      <c r="R19" s="383">
        <f>(Q19-M19)/7-O19</f>
        <v>6.7142857142857153</v>
      </c>
      <c r="S19" s="384" t="str">
        <f t="shared" ca="1" si="10"/>
        <v>Alerta</v>
      </c>
      <c r="T19" s="385">
        <v>1</v>
      </c>
      <c r="U19" s="363">
        <f t="shared" si="6"/>
        <v>1</v>
      </c>
      <c r="V19" s="386">
        <f t="shared" si="8"/>
        <v>0.88071065989847708</v>
      </c>
      <c r="W19" s="387" t="str">
        <f>IF(Q19&lt;=N19,"Cumple","Incumple")</f>
        <v>Incumple</v>
      </c>
      <c r="X19" s="729" t="s">
        <v>3099</v>
      </c>
      <c r="Y19" s="727" t="s">
        <v>270</v>
      </c>
      <c r="Z19" s="386">
        <f t="shared" si="5"/>
        <v>0.94035532994923854</v>
      </c>
      <c r="AA19" s="732">
        <v>1</v>
      </c>
      <c r="AB19" s="732">
        <v>1</v>
      </c>
      <c r="AC19" s="161">
        <f t="shared" si="2"/>
        <v>0.98011844331641285</v>
      </c>
      <c r="AD19" s="733" t="s">
        <v>3115</v>
      </c>
    </row>
    <row r="20" spans="1:30" s="226" customFormat="1" ht="181.5" customHeight="1" x14ac:dyDescent="0.2">
      <c r="A20" s="425" t="s">
        <v>202</v>
      </c>
      <c r="B20" s="425" t="s">
        <v>53</v>
      </c>
      <c r="C20" s="380" t="s">
        <v>254</v>
      </c>
      <c r="D20" s="380" t="s">
        <v>264</v>
      </c>
      <c r="E20" s="380" t="s">
        <v>265</v>
      </c>
      <c r="F20" s="381" t="s">
        <v>271</v>
      </c>
      <c r="G20" s="381" t="s">
        <v>267</v>
      </c>
      <c r="H20" s="381">
        <v>1</v>
      </c>
      <c r="I20" s="483" t="s">
        <v>272</v>
      </c>
      <c r="J20" s="484" t="s">
        <v>60</v>
      </c>
      <c r="K20" s="484" t="s">
        <v>273</v>
      </c>
      <c r="L20" s="484" t="s">
        <v>269</v>
      </c>
      <c r="M20" s="485">
        <v>43375</v>
      </c>
      <c r="N20" s="724">
        <v>43769</v>
      </c>
      <c r="O20" s="497">
        <f t="shared" si="9"/>
        <v>56.285714285714285</v>
      </c>
      <c r="P20" s="140">
        <v>45510</v>
      </c>
      <c r="Q20" s="725">
        <v>43815</v>
      </c>
      <c r="R20" s="383">
        <f t="shared" si="1"/>
        <v>6.5714285714285694</v>
      </c>
      <c r="S20" s="384" t="str">
        <f t="shared" ca="1" si="10"/>
        <v>Alerta</v>
      </c>
      <c r="T20" s="385">
        <v>1</v>
      </c>
      <c r="U20" s="363">
        <f t="shared" si="6"/>
        <v>1</v>
      </c>
      <c r="V20" s="386">
        <f t="shared" ref="V20:V28" si="11">IF(R20&gt;O20,0%,IF(R20&lt;=0,"100%",1-(R20/O20)))</f>
        <v>0.88324873096446699</v>
      </c>
      <c r="W20" s="387">
        <v>0</v>
      </c>
      <c r="X20" s="729" t="s">
        <v>274</v>
      </c>
      <c r="Y20" s="730" t="s">
        <v>275</v>
      </c>
      <c r="Z20" s="386">
        <f t="shared" si="5"/>
        <v>0.94162436548223349</v>
      </c>
      <c r="AA20" s="732">
        <v>0.8</v>
      </c>
      <c r="AB20" s="732">
        <v>0.8</v>
      </c>
      <c r="AC20" s="161">
        <f t="shared" si="2"/>
        <v>0.84720812182741112</v>
      </c>
      <c r="AD20" s="733" t="s">
        <v>3116</v>
      </c>
    </row>
    <row r="21" spans="1:30" s="226" customFormat="1" ht="117" customHeight="1" x14ac:dyDescent="0.2">
      <c r="A21" s="425" t="s">
        <v>202</v>
      </c>
      <c r="B21" s="425" t="s">
        <v>53</v>
      </c>
      <c r="C21" s="380" t="s">
        <v>254</v>
      </c>
      <c r="D21" s="380" t="s">
        <v>276</v>
      </c>
      <c r="E21" s="380" t="s">
        <v>265</v>
      </c>
      <c r="F21" s="380" t="s">
        <v>277</v>
      </c>
      <c r="G21" s="381" t="s">
        <v>267</v>
      </c>
      <c r="H21" s="381">
        <v>1</v>
      </c>
      <c r="I21" s="484" t="s">
        <v>278</v>
      </c>
      <c r="J21" s="484" t="s">
        <v>60</v>
      </c>
      <c r="K21" s="484" t="s">
        <v>273</v>
      </c>
      <c r="L21" s="484" t="s">
        <v>269</v>
      </c>
      <c r="M21" s="485">
        <v>43376</v>
      </c>
      <c r="N21" s="724">
        <v>43770</v>
      </c>
      <c r="O21" s="497">
        <f t="shared" si="9"/>
        <v>56.285714285714285</v>
      </c>
      <c r="P21" s="140">
        <v>45510</v>
      </c>
      <c r="Q21" s="725">
        <v>44165</v>
      </c>
      <c r="R21" s="383">
        <f t="shared" si="1"/>
        <v>56.428571428571423</v>
      </c>
      <c r="S21" s="384" t="str">
        <f t="shared" ca="1" si="10"/>
        <v>Alerta</v>
      </c>
      <c r="T21" s="385">
        <v>1</v>
      </c>
      <c r="U21" s="363">
        <f t="shared" si="6"/>
        <v>1</v>
      </c>
      <c r="V21" s="386">
        <f t="shared" si="11"/>
        <v>0</v>
      </c>
      <c r="W21" s="387" t="str">
        <f t="shared" si="7"/>
        <v>Incumple</v>
      </c>
      <c r="X21" s="729" t="s">
        <v>279</v>
      </c>
      <c r="Y21" s="730" t="s">
        <v>280</v>
      </c>
      <c r="Z21" s="386">
        <f t="shared" si="5"/>
        <v>0.5</v>
      </c>
      <c r="AA21" s="732">
        <v>0.8</v>
      </c>
      <c r="AB21" s="732">
        <v>0.8</v>
      </c>
      <c r="AC21" s="161">
        <f t="shared" si="2"/>
        <v>0.70000000000000007</v>
      </c>
      <c r="AD21" s="733" t="s">
        <v>3117</v>
      </c>
    </row>
    <row r="22" spans="1:30" s="226" customFormat="1" ht="142.5" customHeight="1" x14ac:dyDescent="0.2">
      <c r="A22" s="425" t="s">
        <v>202</v>
      </c>
      <c r="B22" s="425" t="s">
        <v>53</v>
      </c>
      <c r="C22" s="381" t="s">
        <v>281</v>
      </c>
      <c r="D22" s="381" t="s">
        <v>282</v>
      </c>
      <c r="E22" s="381" t="s">
        <v>283</v>
      </c>
      <c r="F22" s="380" t="s">
        <v>284</v>
      </c>
      <c r="G22" s="381" t="s">
        <v>285</v>
      </c>
      <c r="H22" s="381">
        <v>1</v>
      </c>
      <c r="I22" s="484" t="s">
        <v>272</v>
      </c>
      <c r="J22" s="484" t="s">
        <v>241</v>
      </c>
      <c r="K22" s="484" t="s">
        <v>61</v>
      </c>
      <c r="L22" s="484" t="s">
        <v>286</v>
      </c>
      <c r="M22" s="485">
        <v>43374</v>
      </c>
      <c r="N22" s="724">
        <v>44185</v>
      </c>
      <c r="O22" s="497">
        <f t="shared" si="9"/>
        <v>115.85714285714286</v>
      </c>
      <c r="P22" s="140">
        <v>45510</v>
      </c>
      <c r="Q22" s="725">
        <v>43564</v>
      </c>
      <c r="R22" s="383">
        <f t="shared" si="1"/>
        <v>-88.714285714285722</v>
      </c>
      <c r="S22" s="384" t="str">
        <f t="shared" ca="1" si="10"/>
        <v>Alerta</v>
      </c>
      <c r="T22" s="385">
        <v>0.9</v>
      </c>
      <c r="U22" s="363">
        <f t="shared" si="6"/>
        <v>0.9</v>
      </c>
      <c r="V22" s="386" t="str">
        <f t="shared" si="11"/>
        <v>100%</v>
      </c>
      <c r="W22" s="387" t="str">
        <f t="shared" si="7"/>
        <v>Cumple</v>
      </c>
      <c r="X22" s="729" t="s">
        <v>287</v>
      </c>
      <c r="Y22" s="730" t="s">
        <v>288</v>
      </c>
      <c r="Z22" s="386">
        <f t="shared" si="5"/>
        <v>0.95</v>
      </c>
      <c r="AA22" s="732">
        <v>1</v>
      </c>
      <c r="AB22" s="732">
        <v>0.75</v>
      </c>
      <c r="AC22" s="161">
        <f t="shared" si="2"/>
        <v>0.9</v>
      </c>
      <c r="AD22" s="733" t="s">
        <v>3118</v>
      </c>
    </row>
    <row r="23" spans="1:30" s="226" customFormat="1" ht="213.75" customHeight="1" x14ac:dyDescent="0.2">
      <c r="A23" s="425" t="s">
        <v>202</v>
      </c>
      <c r="B23" s="425" t="s">
        <v>53</v>
      </c>
      <c r="C23" s="381" t="s">
        <v>281</v>
      </c>
      <c r="D23" s="381" t="s">
        <v>282</v>
      </c>
      <c r="E23" s="381" t="s">
        <v>283</v>
      </c>
      <c r="F23" s="381" t="s">
        <v>289</v>
      </c>
      <c r="G23" s="381" t="s">
        <v>285</v>
      </c>
      <c r="H23" s="381">
        <v>1</v>
      </c>
      <c r="I23" s="484" t="s">
        <v>272</v>
      </c>
      <c r="J23" s="484" t="s">
        <v>60</v>
      </c>
      <c r="K23" s="484" t="s">
        <v>61</v>
      </c>
      <c r="L23" s="484" t="s">
        <v>286</v>
      </c>
      <c r="M23" s="485">
        <v>43375</v>
      </c>
      <c r="N23" s="724">
        <v>44186</v>
      </c>
      <c r="O23" s="497">
        <f t="shared" si="9"/>
        <v>115.85714285714286</v>
      </c>
      <c r="P23" s="140">
        <v>45510</v>
      </c>
      <c r="Q23" s="725">
        <v>43565</v>
      </c>
      <c r="R23" s="383">
        <f t="shared" si="1"/>
        <v>-88.714285714285722</v>
      </c>
      <c r="S23" s="384" t="str">
        <f t="shared" ca="1" si="10"/>
        <v>Alerta</v>
      </c>
      <c r="T23" s="385">
        <v>0.9</v>
      </c>
      <c r="U23" s="363">
        <f t="shared" si="6"/>
        <v>0.9</v>
      </c>
      <c r="V23" s="386" t="str">
        <f t="shared" si="11"/>
        <v>100%</v>
      </c>
      <c r="W23" s="387" t="str">
        <f t="shared" si="7"/>
        <v>Cumple</v>
      </c>
      <c r="X23" s="729" t="s">
        <v>290</v>
      </c>
      <c r="Y23" s="730" t="s">
        <v>288</v>
      </c>
      <c r="Z23" s="386">
        <f t="shared" si="5"/>
        <v>0.95</v>
      </c>
      <c r="AA23" s="732">
        <v>1</v>
      </c>
      <c r="AB23" s="732">
        <v>0.75</v>
      </c>
      <c r="AC23" s="161">
        <f t="shared" si="2"/>
        <v>0.9</v>
      </c>
      <c r="AD23" s="733" t="s">
        <v>3119</v>
      </c>
    </row>
    <row r="24" spans="1:30" s="226" customFormat="1" ht="144" customHeight="1" x14ac:dyDescent="0.2">
      <c r="A24" s="425" t="s">
        <v>202</v>
      </c>
      <c r="B24" s="425" t="s">
        <v>53</v>
      </c>
      <c r="C24" s="381" t="s">
        <v>291</v>
      </c>
      <c r="D24" s="381" t="s">
        <v>282</v>
      </c>
      <c r="E24" s="381" t="s">
        <v>292</v>
      </c>
      <c r="F24" s="381" t="s">
        <v>293</v>
      </c>
      <c r="G24" s="381" t="s">
        <v>294</v>
      </c>
      <c r="H24" s="381">
        <v>1</v>
      </c>
      <c r="I24" s="484" t="s">
        <v>295</v>
      </c>
      <c r="J24" s="484" t="s">
        <v>60</v>
      </c>
      <c r="K24" s="484" t="s">
        <v>61</v>
      </c>
      <c r="L24" s="484" t="s">
        <v>296</v>
      </c>
      <c r="M24" s="485">
        <v>43374</v>
      </c>
      <c r="N24" s="724">
        <v>43750</v>
      </c>
      <c r="O24" s="497">
        <f t="shared" si="9"/>
        <v>53.714285714285715</v>
      </c>
      <c r="P24" s="140">
        <v>43564</v>
      </c>
      <c r="Q24" s="725">
        <v>43564</v>
      </c>
      <c r="R24" s="383">
        <f t="shared" si="1"/>
        <v>-26.571428571428573</v>
      </c>
      <c r="S24" s="384" t="str">
        <f t="shared" ca="1" si="10"/>
        <v>Alerta</v>
      </c>
      <c r="T24" s="385">
        <v>1</v>
      </c>
      <c r="U24" s="363">
        <f t="shared" si="6"/>
        <v>1</v>
      </c>
      <c r="V24" s="386" t="str">
        <f t="shared" si="11"/>
        <v>100%</v>
      </c>
      <c r="W24" s="387" t="str">
        <f t="shared" si="7"/>
        <v>Cumple</v>
      </c>
      <c r="X24" s="729" t="s">
        <v>297</v>
      </c>
      <c r="Y24" s="730" t="s">
        <v>298</v>
      </c>
      <c r="Z24" s="386">
        <f t="shared" si="5"/>
        <v>1</v>
      </c>
      <c r="AA24" s="732">
        <v>1</v>
      </c>
      <c r="AB24" s="732">
        <v>1</v>
      </c>
      <c r="AC24" s="161">
        <f t="shared" si="2"/>
        <v>1</v>
      </c>
      <c r="AD24" s="733" t="s">
        <v>3120</v>
      </c>
    </row>
    <row r="25" spans="1:30" s="226" customFormat="1" ht="141.75" customHeight="1" x14ac:dyDescent="0.2">
      <c r="A25" s="425" t="s">
        <v>202</v>
      </c>
      <c r="B25" s="425" t="s">
        <v>53</v>
      </c>
      <c r="C25" s="381" t="s">
        <v>299</v>
      </c>
      <c r="D25" s="381" t="s">
        <v>300</v>
      </c>
      <c r="E25" s="381" t="s">
        <v>301</v>
      </c>
      <c r="F25" s="381" t="s">
        <v>302</v>
      </c>
      <c r="G25" s="381" t="s">
        <v>303</v>
      </c>
      <c r="H25" s="381">
        <v>1</v>
      </c>
      <c r="I25" s="484" t="s">
        <v>295</v>
      </c>
      <c r="J25" s="484" t="s">
        <v>60</v>
      </c>
      <c r="K25" s="484" t="s">
        <v>61</v>
      </c>
      <c r="L25" s="484" t="s">
        <v>296</v>
      </c>
      <c r="M25" s="485">
        <v>43374</v>
      </c>
      <c r="N25" s="724">
        <v>43750</v>
      </c>
      <c r="O25" s="497">
        <f t="shared" si="9"/>
        <v>53.714285714285715</v>
      </c>
      <c r="P25" s="140">
        <v>45510</v>
      </c>
      <c r="Q25" s="725">
        <v>44896</v>
      </c>
      <c r="R25" s="383">
        <f t="shared" si="1"/>
        <v>163.71428571428569</v>
      </c>
      <c r="S25" s="384" t="str">
        <f t="shared" ca="1" si="10"/>
        <v>Alerta</v>
      </c>
      <c r="T25" s="381">
        <v>1</v>
      </c>
      <c r="U25" s="363">
        <f t="shared" si="6"/>
        <v>1</v>
      </c>
      <c r="V25" s="386">
        <f>IF(R25&gt;O25,0%,IF(R25&lt;=0,"100%",1-(R25/O25)))</f>
        <v>0</v>
      </c>
      <c r="W25" s="387" t="str">
        <f t="shared" si="7"/>
        <v>Incumple</v>
      </c>
      <c r="X25" s="729" t="s">
        <v>3100</v>
      </c>
      <c r="Y25" s="730" t="s">
        <v>3101</v>
      </c>
      <c r="Z25" s="386">
        <f>(U25+V25)/2</f>
        <v>0.5</v>
      </c>
      <c r="AA25" s="732">
        <v>1</v>
      </c>
      <c r="AB25" s="732">
        <v>1</v>
      </c>
      <c r="AC25" s="161">
        <f t="shared" si="2"/>
        <v>0.83333333333333337</v>
      </c>
      <c r="AD25" s="733" t="s">
        <v>3121</v>
      </c>
    </row>
    <row r="26" spans="1:30" s="226" customFormat="1" ht="135.75" customHeight="1" x14ac:dyDescent="0.2">
      <c r="A26" s="425" t="s">
        <v>202</v>
      </c>
      <c r="B26" s="425" t="s">
        <v>53</v>
      </c>
      <c r="C26" s="381" t="s">
        <v>299</v>
      </c>
      <c r="D26" s="381" t="s">
        <v>300</v>
      </c>
      <c r="E26" s="381" t="s">
        <v>301</v>
      </c>
      <c r="F26" s="381" t="s">
        <v>304</v>
      </c>
      <c r="G26" s="381"/>
      <c r="H26" s="381">
        <v>1</v>
      </c>
      <c r="I26" s="484" t="s">
        <v>295</v>
      </c>
      <c r="J26" s="484" t="s">
        <v>60</v>
      </c>
      <c r="K26" s="484" t="s">
        <v>61</v>
      </c>
      <c r="L26" s="484" t="s">
        <v>305</v>
      </c>
      <c r="M26" s="485">
        <v>43375</v>
      </c>
      <c r="N26" s="724">
        <v>43751</v>
      </c>
      <c r="O26" s="497">
        <f t="shared" si="9"/>
        <v>53.714285714285715</v>
      </c>
      <c r="P26" s="140">
        <v>45510</v>
      </c>
      <c r="Q26" s="725">
        <v>45271</v>
      </c>
      <c r="R26" s="383">
        <f t="shared" si="1"/>
        <v>217.14285714285711</v>
      </c>
      <c r="S26" s="384" t="str">
        <f t="shared" ca="1" si="10"/>
        <v>Alerta</v>
      </c>
      <c r="T26" s="385">
        <v>1</v>
      </c>
      <c r="U26" s="363">
        <f t="shared" si="6"/>
        <v>1</v>
      </c>
      <c r="V26" s="386">
        <f t="shared" si="11"/>
        <v>0</v>
      </c>
      <c r="W26" s="387" t="str">
        <f t="shared" si="7"/>
        <v>Incumple</v>
      </c>
      <c r="X26" s="729" t="s">
        <v>306</v>
      </c>
      <c r="Y26" s="730" t="s">
        <v>307</v>
      </c>
      <c r="Z26" s="386">
        <f t="shared" si="5"/>
        <v>0.5</v>
      </c>
      <c r="AA26" s="732">
        <v>1</v>
      </c>
      <c r="AB26" s="732">
        <v>1</v>
      </c>
      <c r="AC26" s="161">
        <f t="shared" si="2"/>
        <v>0.83333333333333337</v>
      </c>
      <c r="AD26" s="733" t="s">
        <v>3122</v>
      </c>
    </row>
    <row r="27" spans="1:30" s="226" customFormat="1" ht="118.5" customHeight="1" x14ac:dyDescent="0.2">
      <c r="A27" s="425" t="s">
        <v>202</v>
      </c>
      <c r="B27" s="425" t="s">
        <v>53</v>
      </c>
      <c r="C27" s="381" t="s">
        <v>299</v>
      </c>
      <c r="D27" s="381" t="s">
        <v>300</v>
      </c>
      <c r="E27" s="381" t="s">
        <v>301</v>
      </c>
      <c r="F27" s="381" t="s">
        <v>308</v>
      </c>
      <c r="G27" s="381"/>
      <c r="H27" s="381">
        <v>1</v>
      </c>
      <c r="I27" s="484" t="s">
        <v>295</v>
      </c>
      <c r="J27" s="484" t="s">
        <v>60</v>
      </c>
      <c r="K27" s="484" t="s">
        <v>61</v>
      </c>
      <c r="L27" s="484" t="s">
        <v>305</v>
      </c>
      <c r="M27" s="485">
        <v>43376</v>
      </c>
      <c r="N27" s="724">
        <v>43752</v>
      </c>
      <c r="O27" s="497">
        <f t="shared" si="9"/>
        <v>53.714285714285715</v>
      </c>
      <c r="P27" s="140">
        <v>45510</v>
      </c>
      <c r="Q27" s="725">
        <f>P27</f>
        <v>45510</v>
      </c>
      <c r="R27" s="383">
        <f t="shared" si="1"/>
        <v>251.14285714285711</v>
      </c>
      <c r="S27" s="384" t="str">
        <f t="shared" ca="1" si="10"/>
        <v>Alerta</v>
      </c>
      <c r="T27" s="385">
        <v>1</v>
      </c>
      <c r="U27" s="363">
        <f>IF(T27/H27=1,1,+T27/H27)</f>
        <v>1</v>
      </c>
      <c r="V27" s="386">
        <f t="shared" si="11"/>
        <v>0</v>
      </c>
      <c r="W27" s="387" t="str">
        <f t="shared" si="7"/>
        <v>Incumple</v>
      </c>
      <c r="X27" s="729" t="s">
        <v>309</v>
      </c>
      <c r="Y27" s="730" t="s">
        <v>3102</v>
      </c>
      <c r="Z27" s="386">
        <f>(U27+V27)/2</f>
        <v>0.5</v>
      </c>
      <c r="AA27" s="732">
        <v>1</v>
      </c>
      <c r="AB27" s="732">
        <v>1</v>
      </c>
      <c r="AC27" s="161">
        <f t="shared" si="2"/>
        <v>0.83333333333333337</v>
      </c>
      <c r="AD27" s="733" t="s">
        <v>3123</v>
      </c>
    </row>
    <row r="28" spans="1:30" s="226" customFormat="1" ht="114" x14ac:dyDescent="0.2">
      <c r="A28" s="425" t="s">
        <v>202</v>
      </c>
      <c r="B28" s="425" t="s">
        <v>53</v>
      </c>
      <c r="C28" s="381" t="s">
        <v>299</v>
      </c>
      <c r="D28" s="381" t="s">
        <v>300</v>
      </c>
      <c r="E28" s="381" t="s">
        <v>301</v>
      </c>
      <c r="F28" s="381" t="s">
        <v>310</v>
      </c>
      <c r="G28" s="381"/>
      <c r="H28" s="381">
        <v>1</v>
      </c>
      <c r="I28" s="484" t="s">
        <v>295</v>
      </c>
      <c r="J28" s="484" t="s">
        <v>60</v>
      </c>
      <c r="K28" s="484" t="s">
        <v>61</v>
      </c>
      <c r="L28" s="484" t="s">
        <v>305</v>
      </c>
      <c r="M28" s="485">
        <v>43377</v>
      </c>
      <c r="N28" s="724">
        <v>43753</v>
      </c>
      <c r="O28" s="497">
        <f t="shared" si="9"/>
        <v>53.714285714285715</v>
      </c>
      <c r="P28" s="140">
        <v>44165</v>
      </c>
      <c r="Q28" s="725">
        <f>P28</f>
        <v>44165</v>
      </c>
      <c r="R28" s="383">
        <f t="shared" si="1"/>
        <v>58.857142857142854</v>
      </c>
      <c r="S28" s="384" t="str">
        <f t="shared" ca="1" si="10"/>
        <v>Alerta</v>
      </c>
      <c r="T28" s="385">
        <v>1</v>
      </c>
      <c r="U28" s="363">
        <f>IF(T28/H28=1,1,+T28/H28)</f>
        <v>1</v>
      </c>
      <c r="V28" s="386">
        <f t="shared" si="11"/>
        <v>0</v>
      </c>
      <c r="W28" s="387" t="str">
        <f t="shared" si="7"/>
        <v>Incumple</v>
      </c>
      <c r="X28" s="729" t="s">
        <v>311</v>
      </c>
      <c r="Y28" s="730" t="s">
        <v>312</v>
      </c>
      <c r="Z28" s="386">
        <f>(U28+V28)/2</f>
        <v>0.5</v>
      </c>
      <c r="AA28" s="732">
        <v>1</v>
      </c>
      <c r="AB28" s="732">
        <v>0.75</v>
      </c>
      <c r="AC28" s="161">
        <f t="shared" si="2"/>
        <v>0.75</v>
      </c>
      <c r="AD28" s="733" t="s">
        <v>313</v>
      </c>
    </row>
    <row r="29" spans="1:30" ht="30.75" customHeight="1" x14ac:dyDescent="0.2">
      <c r="G29" s="65" t="s">
        <v>314</v>
      </c>
      <c r="H29" s="66">
        <f>SUM(H7:H28)</f>
        <v>32</v>
      </c>
      <c r="R29" s="892" t="s">
        <v>195</v>
      </c>
      <c r="S29" s="892"/>
      <c r="T29" s="162">
        <f>SUM(T7:T28)</f>
        <v>31.799999999999997</v>
      </c>
      <c r="U29" s="111">
        <f>AVERAGE(U7:U28)</f>
        <v>0.99090909090909096</v>
      </c>
      <c r="V29" s="160" t="s">
        <v>44</v>
      </c>
      <c r="W29" s="161">
        <f>(COUNTIF(W7:W28,"Cumple"))/COUNTA(W7:W28)</f>
        <v>0.36363636363636365</v>
      </c>
      <c r="X29" s="64"/>
      <c r="Y29" s="64"/>
      <c r="Z29" s="390"/>
      <c r="AA29" s="892" t="s">
        <v>195</v>
      </c>
      <c r="AB29" s="892"/>
      <c r="AC29" s="161">
        <f>AVERAGE(AC7:AC28)</f>
        <v>0.90506785961004066</v>
      </c>
    </row>
  </sheetData>
  <autoFilter ref="A6:AD29" xr:uid="{0A1C00CD-8DBF-4A08-B090-30A1BBE9626B}"/>
  <mergeCells count="28">
    <mergeCell ref="AA29:AB29"/>
    <mergeCell ref="R29:S29"/>
    <mergeCell ref="O5:Y5"/>
    <mergeCell ref="Z5:AD5"/>
    <mergeCell ref="A5:N5"/>
    <mergeCell ref="O1:P2"/>
    <mergeCell ref="Q1:Y2"/>
    <mergeCell ref="Z1:AD4"/>
    <mergeCell ref="O3:P3"/>
    <mergeCell ref="O4:P4"/>
    <mergeCell ref="T4:U4"/>
    <mergeCell ref="Q3:V3"/>
    <mergeCell ref="Q4:S4"/>
    <mergeCell ref="V4:Y4"/>
    <mergeCell ref="W3:X3"/>
    <mergeCell ref="A3:B3"/>
    <mergeCell ref="A4:B4"/>
    <mergeCell ref="A2:B2"/>
    <mergeCell ref="C1:N1"/>
    <mergeCell ref="C2:F2"/>
    <mergeCell ref="C3:F3"/>
    <mergeCell ref="C4:F4"/>
    <mergeCell ref="G3:H3"/>
    <mergeCell ref="G4:H4"/>
    <mergeCell ref="G2:H2"/>
    <mergeCell ref="I2:N2"/>
    <mergeCell ref="I3:N3"/>
    <mergeCell ref="I4:N4"/>
  </mergeCells>
  <conditionalFormatting sqref="R7:R28">
    <cfRule type="cellIs" dxfId="476" priority="40" operator="greaterThan">
      <formula>0</formula>
    </cfRule>
    <cfRule type="cellIs" dxfId="475" priority="41" operator="lessThan">
      <formula>0</formula>
    </cfRule>
  </conditionalFormatting>
  <conditionalFormatting sqref="S7:S28">
    <cfRule type="containsText" dxfId="474" priority="38" operator="containsText" text="Alerta">
      <formula>NOT(ISERROR(SEARCH("Alerta",S7)))</formula>
    </cfRule>
    <cfRule type="containsText" dxfId="473" priority="39" operator="containsText" text="En tiempo">
      <formula>NOT(ISERROR(SEARCH("En tiempo",S7)))</formula>
    </cfRule>
  </conditionalFormatting>
  <conditionalFormatting sqref="U7:U29">
    <cfRule type="cellIs" dxfId="472" priority="14" stopIfTrue="1" operator="between">
      <formula>0.8</formula>
      <formula>1</formula>
    </cfRule>
    <cfRule type="cellIs" dxfId="471" priority="15" stopIfTrue="1" operator="between">
      <formula>0.5</formula>
      <formula>0.79</formula>
    </cfRule>
    <cfRule type="cellIs" dxfId="470" priority="16" stopIfTrue="1" operator="between">
      <formula>0.3</formula>
      <formula>0.49</formula>
    </cfRule>
    <cfRule type="cellIs" dxfId="469" priority="17" stopIfTrue="1" operator="between">
      <formula>0</formula>
      <formula>0.29</formula>
    </cfRule>
  </conditionalFormatting>
  <conditionalFormatting sqref="W7:W28">
    <cfRule type="containsText" dxfId="468" priority="12" operator="containsText" text="Incumple">
      <formula>NOT(ISERROR(SEARCH("Incumple",W7)))</formula>
    </cfRule>
    <cfRule type="containsText" dxfId="467" priority="13" operator="containsText" text="Cumple">
      <formula>NOT(ISERROR(SEARCH("Cumple",W7)))</formula>
    </cfRule>
  </conditionalFormatting>
  <conditionalFormatting sqref="W29">
    <cfRule type="cellIs" dxfId="466" priority="44" operator="between">
      <formula>0.19</formula>
      <formula>0</formula>
    </cfRule>
    <cfRule type="cellIs" dxfId="465" priority="45" operator="between">
      <formula>0.49</formula>
      <formula>0.2</formula>
    </cfRule>
    <cfRule type="cellIs" dxfId="464" priority="46" operator="between">
      <formula>0.89</formula>
      <formula>0.5</formula>
    </cfRule>
    <cfRule type="cellIs" dxfId="463" priority="47" operator="between">
      <formula>1</formula>
      <formula>0.9</formula>
    </cfRule>
  </conditionalFormatting>
  <conditionalFormatting sqref="Z7:Z28">
    <cfRule type="cellIs" dxfId="462" priority="8" operator="between">
      <formula>0.19</formula>
      <formula>0</formula>
    </cfRule>
    <cfRule type="cellIs" dxfId="461" priority="9" operator="between">
      <formula>0.49</formula>
      <formula>0.2</formula>
    </cfRule>
    <cfRule type="cellIs" dxfId="460" priority="10" operator="between">
      <formula>0.89</formula>
      <formula>0.5</formula>
    </cfRule>
    <cfRule type="cellIs" dxfId="459" priority="11" operator="between">
      <formula>1</formula>
      <formula>0.9</formula>
    </cfRule>
  </conditionalFormatting>
  <conditionalFormatting sqref="AC7:AC28">
    <cfRule type="cellIs" dxfId="458" priority="5" operator="between">
      <formula>0.3</formula>
      <formula>0</formula>
    </cfRule>
    <cfRule type="cellIs" dxfId="457" priority="6" operator="between">
      <formula>0.6999</formula>
      <formula>0.3111</formula>
    </cfRule>
    <cfRule type="cellIs" dxfId="456" priority="7" operator="between">
      <formula>1</formula>
      <formula>0.7</formula>
    </cfRule>
  </conditionalFormatting>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Y34"/>
  <sheetViews>
    <sheetView zoomScale="75" zoomScaleNormal="75" workbookViewId="0">
      <selection activeCell="O6" sqref="O6"/>
    </sheetView>
  </sheetViews>
  <sheetFormatPr baseColWidth="10" defaultColWidth="9.140625" defaultRowHeight="14.25" x14ac:dyDescent="0.2"/>
  <cols>
    <col min="1" max="1" width="9.28515625" style="93" bestFit="1" customWidth="1"/>
    <col min="2" max="3" width="9.140625" style="93"/>
    <col min="4" max="4" width="105.42578125" style="93" customWidth="1"/>
    <col min="5" max="5" width="40.7109375" style="93" customWidth="1"/>
    <col min="6" max="6" width="33.5703125" style="93" customWidth="1"/>
    <col min="7" max="7" width="39.42578125" style="93" customWidth="1"/>
    <col min="8" max="8" width="26.42578125" style="93" customWidth="1"/>
    <col min="9" max="9" width="11.7109375" style="93" customWidth="1"/>
    <col min="10" max="10" width="16.42578125" style="96" customWidth="1"/>
    <col min="11" max="11" width="15.85546875" style="96" customWidth="1"/>
    <col min="12" max="12" width="16" style="93" customWidth="1"/>
    <col min="13" max="13" width="14.85546875" style="96" customWidth="1"/>
    <col min="14" max="14" width="14.7109375" style="93" customWidth="1"/>
    <col min="15" max="16" width="12.85546875" style="93" customWidth="1"/>
    <col min="17" max="17" width="11" style="93" bestFit="1" customWidth="1"/>
    <col min="18" max="20" width="9.140625" style="93" hidden="1" customWidth="1"/>
    <col min="21" max="21" width="14.7109375" style="93" customWidth="1"/>
    <col min="22" max="22" width="75" style="93" customWidth="1"/>
    <col min="23" max="23" width="61.5703125" style="93" customWidth="1"/>
    <col min="24" max="24" width="14" style="93" hidden="1" customWidth="1"/>
    <col min="25" max="25" width="29.5703125" style="93" customWidth="1"/>
    <col min="26" max="26" width="9.28515625" style="93" bestFit="1" customWidth="1"/>
    <col min="27" max="16384" width="9.140625" style="93"/>
  </cols>
  <sheetData>
    <row r="1" spans="1:25" x14ac:dyDescent="0.2">
      <c r="A1" s="1120" t="s">
        <v>2325</v>
      </c>
      <c r="B1" s="1120"/>
      <c r="C1" s="1120"/>
      <c r="D1" s="1120"/>
      <c r="E1" s="1120"/>
      <c r="F1" s="1120"/>
      <c r="G1" s="1120"/>
      <c r="H1" s="1120"/>
      <c r="I1" s="1125"/>
      <c r="J1" s="1120"/>
      <c r="K1" s="1120"/>
      <c r="L1" s="1120"/>
      <c r="M1" s="1120"/>
      <c r="N1" s="1120"/>
      <c r="O1" s="1120"/>
      <c r="P1" s="1120"/>
      <c r="Q1" s="1120"/>
      <c r="R1" s="1120"/>
      <c r="S1" s="1120"/>
      <c r="T1" s="1120"/>
      <c r="U1" s="1120"/>
      <c r="V1" s="1120"/>
      <c r="W1" s="1120"/>
      <c r="X1" s="1120"/>
      <c r="Y1" s="1120"/>
    </row>
    <row r="2" spans="1:25" ht="36" customHeight="1" x14ac:dyDescent="0.2">
      <c r="A2" s="1120"/>
      <c r="B2" s="1120"/>
      <c r="C2" s="1120"/>
      <c r="D2" s="1120"/>
      <c r="E2" s="1120"/>
      <c r="F2" s="1120"/>
      <c r="G2" s="1120"/>
      <c r="H2" s="1120"/>
      <c r="I2" s="1125"/>
      <c r="J2" s="1120"/>
      <c r="K2" s="1120"/>
      <c r="L2" s="1120"/>
      <c r="M2" s="1120"/>
      <c r="N2" s="1120"/>
      <c r="O2" s="1120"/>
      <c r="P2" s="1120"/>
      <c r="Q2" s="1120"/>
      <c r="R2" s="1120"/>
      <c r="S2" s="1120"/>
      <c r="T2" s="1120"/>
      <c r="U2" s="1120"/>
      <c r="V2" s="1120"/>
      <c r="W2" s="1120"/>
      <c r="X2" s="1120"/>
      <c r="Y2" s="1120"/>
    </row>
    <row r="3" spans="1:25" s="61" customFormat="1" ht="102" customHeight="1" x14ac:dyDescent="0.2">
      <c r="A3" s="122"/>
      <c r="B3" s="123" t="s">
        <v>2141</v>
      </c>
      <c r="C3" s="123"/>
      <c r="D3" s="123" t="s">
        <v>2142</v>
      </c>
      <c r="E3" s="123" t="s">
        <v>2143</v>
      </c>
      <c r="F3" s="123" t="s">
        <v>2144</v>
      </c>
      <c r="G3" s="123" t="s">
        <v>27</v>
      </c>
      <c r="H3" s="123" t="s">
        <v>2145</v>
      </c>
      <c r="I3" s="123" t="s">
        <v>2146</v>
      </c>
      <c r="J3" s="124" t="s">
        <v>34</v>
      </c>
      <c r="K3" s="124" t="s">
        <v>35</v>
      </c>
      <c r="L3" s="123" t="s">
        <v>36</v>
      </c>
      <c r="M3" s="124" t="s">
        <v>37</v>
      </c>
      <c r="N3" s="123" t="s">
        <v>2147</v>
      </c>
      <c r="O3" s="123" t="s">
        <v>2148</v>
      </c>
      <c r="P3" s="123" t="s">
        <v>41</v>
      </c>
      <c r="Q3" s="123" t="s">
        <v>42</v>
      </c>
      <c r="R3" s="123" t="s">
        <v>2149</v>
      </c>
      <c r="S3" s="117" t="s">
        <v>2150</v>
      </c>
      <c r="T3" s="117" t="s">
        <v>2151</v>
      </c>
      <c r="U3" s="117" t="s">
        <v>44</v>
      </c>
      <c r="V3" s="117" t="s">
        <v>2152</v>
      </c>
      <c r="W3" s="117" t="s">
        <v>2153</v>
      </c>
      <c r="X3" s="117" t="s">
        <v>21</v>
      </c>
      <c r="Y3" s="117" t="s">
        <v>2154</v>
      </c>
    </row>
    <row r="4" spans="1:25" s="459" customFormat="1" ht="265.5" customHeight="1" x14ac:dyDescent="0.2">
      <c r="A4" s="470">
        <v>1</v>
      </c>
      <c r="B4" s="265" t="s">
        <v>2155</v>
      </c>
      <c r="C4" s="265" t="s">
        <v>2326</v>
      </c>
      <c r="D4" s="268" t="s">
        <v>2327</v>
      </c>
      <c r="E4" s="268" t="s">
        <v>2328</v>
      </c>
      <c r="F4" s="268" t="s">
        <v>2329</v>
      </c>
      <c r="G4" s="268" t="s">
        <v>2330</v>
      </c>
      <c r="H4" s="268" t="s">
        <v>2331</v>
      </c>
      <c r="I4" s="465">
        <v>12</v>
      </c>
      <c r="J4" s="471">
        <v>44389</v>
      </c>
      <c r="K4" s="471">
        <v>44747</v>
      </c>
      <c r="L4" s="467">
        <f>(K4-J4)/7</f>
        <v>51.142857142857146</v>
      </c>
      <c r="M4" s="471">
        <v>44742</v>
      </c>
      <c r="N4" s="467">
        <f>(M4-K4)/7</f>
        <v>-0.7142857142857143</v>
      </c>
      <c r="O4" s="457" t="str">
        <f ca="1">IF((K4-TODAY())/7&gt;=L4/4,"En tiempo","Alerta")</f>
        <v>Alerta</v>
      </c>
      <c r="P4" s="257">
        <v>12</v>
      </c>
      <c r="Q4" s="363">
        <f>IF(P4/I4=1,1,+P4/I4)</f>
        <v>1</v>
      </c>
      <c r="R4" s="265"/>
      <c r="S4" s="265"/>
      <c r="T4" s="265"/>
      <c r="U4" s="458" t="str">
        <f>IF(M4&lt;=K4,"Cumple","Incumple")</f>
        <v>Cumple</v>
      </c>
      <c r="V4" s="257"/>
      <c r="W4" s="265" t="s">
        <v>2332</v>
      </c>
      <c r="X4" s="265"/>
      <c r="Y4" s="268" t="s">
        <v>2333</v>
      </c>
    </row>
    <row r="5" spans="1:25" s="459" customFormat="1" ht="270.60000000000002" customHeight="1" x14ac:dyDescent="0.2">
      <c r="A5" s="470">
        <v>1</v>
      </c>
      <c r="B5" s="265" t="s">
        <v>2155</v>
      </c>
      <c r="C5" s="265" t="s">
        <v>2326</v>
      </c>
      <c r="D5" s="268" t="s">
        <v>2327</v>
      </c>
      <c r="E5" s="268" t="s">
        <v>2328</v>
      </c>
      <c r="F5" s="268" t="s">
        <v>2329</v>
      </c>
      <c r="G5" s="268" t="s">
        <v>2334</v>
      </c>
      <c r="H5" s="268" t="s">
        <v>2335</v>
      </c>
      <c r="I5" s="465">
        <v>12</v>
      </c>
      <c r="J5" s="471">
        <v>44389</v>
      </c>
      <c r="K5" s="471">
        <v>44747</v>
      </c>
      <c r="L5" s="467">
        <f>(K5-J5)/7</f>
        <v>51.142857142857146</v>
      </c>
      <c r="M5" s="471">
        <v>44742</v>
      </c>
      <c r="N5" s="467">
        <f>(M5-K5)/7</f>
        <v>-0.7142857142857143</v>
      </c>
      <c r="O5" s="457" t="str">
        <f ca="1">IF((K5-TODAY())/7&gt;=L5/4,"En tiempo","Alerta")</f>
        <v>Alerta</v>
      </c>
      <c r="P5" s="262">
        <v>12</v>
      </c>
      <c r="Q5" s="363">
        <f t="shared" ref="Q5:Q33" si="0">IF(P5/I5=1,1,+P5/I5)</f>
        <v>1</v>
      </c>
      <c r="R5" s="263"/>
      <c r="S5" s="263"/>
      <c r="T5" s="263"/>
      <c r="U5" s="460" t="str">
        <f>IF(M5&lt;=K5,"Cumple","Incumple")</f>
        <v>Cumple</v>
      </c>
      <c r="V5" s="262" t="s">
        <v>2336</v>
      </c>
      <c r="W5" s="265" t="s">
        <v>2337</v>
      </c>
      <c r="X5" s="265"/>
      <c r="Y5" s="268" t="s">
        <v>2338</v>
      </c>
    </row>
    <row r="6" spans="1:25" s="459" customFormat="1" ht="386.1" customHeight="1" x14ac:dyDescent="0.2">
      <c r="A6" s="470">
        <v>2</v>
      </c>
      <c r="B6" s="265" t="s">
        <v>2155</v>
      </c>
      <c r="C6" s="265" t="s">
        <v>2326</v>
      </c>
      <c r="D6" s="268" t="s">
        <v>2339</v>
      </c>
      <c r="E6" s="268" t="s">
        <v>2340</v>
      </c>
      <c r="F6" s="257" t="s">
        <v>2341</v>
      </c>
      <c r="G6" s="257" t="s">
        <v>2342</v>
      </c>
      <c r="H6" s="257" t="s">
        <v>2343</v>
      </c>
      <c r="I6" s="465">
        <v>1</v>
      </c>
      <c r="J6" s="471">
        <v>44389</v>
      </c>
      <c r="K6" s="471">
        <v>44484</v>
      </c>
      <c r="L6" s="467">
        <f t="shared" ref="L6:L33" si="1">(K6-J6)/7</f>
        <v>13.571428571428571</v>
      </c>
      <c r="M6" s="471">
        <v>44742</v>
      </c>
      <c r="N6" s="467">
        <f t="shared" ref="N6:N33" si="2">(M6-K6)/7</f>
        <v>36.857142857142854</v>
      </c>
      <c r="O6" s="457" t="str">
        <f t="shared" ref="O6:O33" ca="1" si="3">IF((K6-TODAY())/7&gt;=L6/4,"En tiempo","Alerta")</f>
        <v>Alerta</v>
      </c>
      <c r="P6" s="262">
        <v>1</v>
      </c>
      <c r="Q6" s="363">
        <f t="shared" si="0"/>
        <v>1</v>
      </c>
      <c r="R6" s="263"/>
      <c r="S6" s="263"/>
      <c r="T6" s="263"/>
      <c r="U6" s="460" t="str">
        <f t="shared" ref="U6:U31" si="4">IF(M6&lt;=K6,"Cumple","Incumple")</f>
        <v>Incumple</v>
      </c>
      <c r="V6" s="262" t="s">
        <v>2344</v>
      </c>
      <c r="W6" s="265" t="s">
        <v>2345</v>
      </c>
      <c r="X6" s="265"/>
      <c r="Y6" s="268" t="s">
        <v>2346</v>
      </c>
    </row>
    <row r="7" spans="1:25" s="459" customFormat="1" ht="327" customHeight="1" x14ac:dyDescent="0.2">
      <c r="A7" s="470">
        <v>2</v>
      </c>
      <c r="B7" s="265" t="s">
        <v>2155</v>
      </c>
      <c r="C7" s="265" t="s">
        <v>2326</v>
      </c>
      <c r="D7" s="268" t="s">
        <v>2339</v>
      </c>
      <c r="E7" s="268" t="s">
        <v>2340</v>
      </c>
      <c r="F7" s="257" t="s">
        <v>2341</v>
      </c>
      <c r="G7" s="257" t="s">
        <v>2347</v>
      </c>
      <c r="H7" s="257" t="s">
        <v>148</v>
      </c>
      <c r="I7" s="465">
        <v>1</v>
      </c>
      <c r="J7" s="471">
        <v>44389</v>
      </c>
      <c r="K7" s="471">
        <v>44651</v>
      </c>
      <c r="L7" s="467">
        <f t="shared" si="1"/>
        <v>37.428571428571431</v>
      </c>
      <c r="M7" s="466">
        <v>45107</v>
      </c>
      <c r="N7" s="467">
        <f t="shared" si="2"/>
        <v>65.142857142857139</v>
      </c>
      <c r="O7" s="457" t="str">
        <f t="shared" ca="1" si="3"/>
        <v>Alerta</v>
      </c>
      <c r="P7" s="262">
        <v>1</v>
      </c>
      <c r="Q7" s="363">
        <f t="shared" si="0"/>
        <v>1</v>
      </c>
      <c r="R7" s="263"/>
      <c r="S7" s="263"/>
      <c r="T7" s="263"/>
      <c r="U7" s="460" t="str">
        <f t="shared" si="4"/>
        <v>Incumple</v>
      </c>
      <c r="V7" s="262" t="s">
        <v>2348</v>
      </c>
      <c r="W7" s="265" t="s">
        <v>2349</v>
      </c>
      <c r="X7" s="265"/>
      <c r="Y7" s="268" t="s">
        <v>2346</v>
      </c>
    </row>
    <row r="8" spans="1:25" s="459" customFormat="1" ht="243.95" customHeight="1" x14ac:dyDescent="0.2">
      <c r="A8" s="470">
        <v>3</v>
      </c>
      <c r="B8" s="265" t="s">
        <v>2155</v>
      </c>
      <c r="C8" s="265" t="s">
        <v>2326</v>
      </c>
      <c r="D8" s="268" t="s">
        <v>2350</v>
      </c>
      <c r="E8" s="268" t="s">
        <v>2351</v>
      </c>
      <c r="F8" s="257" t="s">
        <v>2352</v>
      </c>
      <c r="G8" s="257" t="s">
        <v>2353</v>
      </c>
      <c r="H8" s="472" t="s">
        <v>2354</v>
      </c>
      <c r="I8" s="473">
        <v>1</v>
      </c>
      <c r="J8" s="471">
        <v>44389</v>
      </c>
      <c r="K8" s="471">
        <v>44747</v>
      </c>
      <c r="L8" s="467">
        <f t="shared" si="1"/>
        <v>51.142857142857146</v>
      </c>
      <c r="M8" s="466">
        <v>45107</v>
      </c>
      <c r="N8" s="467">
        <f t="shared" si="2"/>
        <v>51.428571428571431</v>
      </c>
      <c r="O8" s="457" t="str">
        <f t="shared" ca="1" si="3"/>
        <v>Alerta</v>
      </c>
      <c r="P8" s="363">
        <v>1</v>
      </c>
      <c r="Q8" s="363">
        <f t="shared" si="0"/>
        <v>1</v>
      </c>
      <c r="R8" s="263"/>
      <c r="S8" s="263"/>
      <c r="T8" s="263"/>
      <c r="U8" s="460" t="str">
        <f t="shared" si="4"/>
        <v>Incumple</v>
      </c>
      <c r="V8" s="263" t="s">
        <v>2355</v>
      </c>
      <c r="W8" s="265" t="s">
        <v>2356</v>
      </c>
      <c r="X8" s="265"/>
      <c r="Y8" s="268" t="s">
        <v>2357</v>
      </c>
    </row>
    <row r="9" spans="1:25" s="459" customFormat="1" ht="284.45" customHeight="1" x14ac:dyDescent="0.2">
      <c r="A9" s="470">
        <v>4</v>
      </c>
      <c r="B9" s="265" t="s">
        <v>2155</v>
      </c>
      <c r="C9" s="265" t="s">
        <v>2326</v>
      </c>
      <c r="D9" s="268" t="s">
        <v>2358</v>
      </c>
      <c r="E9" s="268" t="s">
        <v>2359</v>
      </c>
      <c r="F9" s="257" t="s">
        <v>2360</v>
      </c>
      <c r="G9" s="257" t="s">
        <v>2361</v>
      </c>
      <c r="H9" s="257" t="s">
        <v>2362</v>
      </c>
      <c r="I9" s="465">
        <v>1</v>
      </c>
      <c r="J9" s="471">
        <v>44389</v>
      </c>
      <c r="K9" s="471">
        <v>44717</v>
      </c>
      <c r="L9" s="467">
        <f t="shared" si="1"/>
        <v>46.857142857142854</v>
      </c>
      <c r="M9" s="466">
        <v>44923</v>
      </c>
      <c r="N9" s="467">
        <f t="shared" si="2"/>
        <v>29.428571428571427</v>
      </c>
      <c r="O9" s="457" t="str">
        <f t="shared" ca="1" si="3"/>
        <v>Alerta</v>
      </c>
      <c r="P9" s="262">
        <v>1</v>
      </c>
      <c r="Q9" s="363">
        <f>IF(P9/I9=1,1,+P9/I9)</f>
        <v>1</v>
      </c>
      <c r="R9" s="263"/>
      <c r="S9" s="263"/>
      <c r="T9" s="263"/>
      <c r="U9" s="460" t="str">
        <f t="shared" si="4"/>
        <v>Incumple</v>
      </c>
      <c r="V9" s="263" t="s">
        <v>2363</v>
      </c>
      <c r="W9" s="265" t="s">
        <v>2364</v>
      </c>
      <c r="X9" s="265"/>
      <c r="Y9" s="268" t="s">
        <v>2365</v>
      </c>
    </row>
    <row r="10" spans="1:25" s="459" customFormat="1" ht="159.75" customHeight="1" x14ac:dyDescent="0.2">
      <c r="A10" s="470">
        <v>4</v>
      </c>
      <c r="B10" s="265" t="s">
        <v>2155</v>
      </c>
      <c r="C10" s="265" t="s">
        <v>2326</v>
      </c>
      <c r="D10" s="268" t="s">
        <v>2358</v>
      </c>
      <c r="E10" s="268" t="s">
        <v>2359</v>
      </c>
      <c r="F10" s="257" t="s">
        <v>2360</v>
      </c>
      <c r="G10" s="257" t="s">
        <v>2366</v>
      </c>
      <c r="H10" s="257" t="s">
        <v>2354</v>
      </c>
      <c r="I10" s="473">
        <v>1</v>
      </c>
      <c r="J10" s="471">
        <v>44389</v>
      </c>
      <c r="K10" s="471">
        <v>44717</v>
      </c>
      <c r="L10" s="467">
        <f t="shared" si="1"/>
        <v>46.857142857142854</v>
      </c>
      <c r="M10" s="466">
        <v>44925</v>
      </c>
      <c r="N10" s="467">
        <f t="shared" si="2"/>
        <v>29.714285714285715</v>
      </c>
      <c r="O10" s="457" t="str">
        <f t="shared" ca="1" si="3"/>
        <v>Alerta</v>
      </c>
      <c r="P10" s="363">
        <v>1</v>
      </c>
      <c r="Q10" s="363">
        <f t="shared" si="0"/>
        <v>1</v>
      </c>
      <c r="R10" s="263"/>
      <c r="S10" s="263"/>
      <c r="T10" s="263"/>
      <c r="U10" s="460" t="str">
        <f t="shared" si="4"/>
        <v>Incumple</v>
      </c>
      <c r="V10" s="263" t="s">
        <v>2367</v>
      </c>
      <c r="W10" s="265" t="s">
        <v>2368</v>
      </c>
      <c r="X10" s="265"/>
      <c r="Y10" s="268" t="s">
        <v>2369</v>
      </c>
    </row>
    <row r="11" spans="1:25" s="459" customFormat="1" ht="85.5" x14ac:dyDescent="0.2">
      <c r="A11" s="470">
        <v>5</v>
      </c>
      <c r="B11" s="265" t="s">
        <v>2155</v>
      </c>
      <c r="C11" s="265" t="s">
        <v>2326</v>
      </c>
      <c r="D11" s="268" t="s">
        <v>2370</v>
      </c>
      <c r="E11" s="268" t="s">
        <v>2371</v>
      </c>
      <c r="F11" s="257" t="s">
        <v>2372</v>
      </c>
      <c r="G11" s="257" t="s">
        <v>2373</v>
      </c>
      <c r="H11" s="257" t="s">
        <v>2362</v>
      </c>
      <c r="I11" s="465">
        <v>1</v>
      </c>
      <c r="J11" s="471">
        <v>44389</v>
      </c>
      <c r="K11" s="471">
        <v>44717</v>
      </c>
      <c r="L11" s="467">
        <f t="shared" si="1"/>
        <v>46.857142857142854</v>
      </c>
      <c r="M11" s="466">
        <v>44923</v>
      </c>
      <c r="N11" s="467">
        <f t="shared" si="2"/>
        <v>29.428571428571427</v>
      </c>
      <c r="O11" s="457" t="str">
        <f t="shared" ca="1" si="3"/>
        <v>Alerta</v>
      </c>
      <c r="P11" s="262">
        <v>1</v>
      </c>
      <c r="Q11" s="363">
        <f t="shared" si="0"/>
        <v>1</v>
      </c>
      <c r="R11" s="263"/>
      <c r="S11" s="263"/>
      <c r="T11" s="263"/>
      <c r="U11" s="460" t="str">
        <f t="shared" si="4"/>
        <v>Incumple</v>
      </c>
      <c r="V11" s="263" t="s">
        <v>2374</v>
      </c>
      <c r="W11" s="265" t="s">
        <v>2375</v>
      </c>
      <c r="X11" s="265"/>
      <c r="Y11" s="268" t="s">
        <v>2365</v>
      </c>
    </row>
    <row r="12" spans="1:25" s="459" customFormat="1" ht="99.75" x14ac:dyDescent="0.2">
      <c r="A12" s="470">
        <v>5</v>
      </c>
      <c r="B12" s="265" t="s">
        <v>2155</v>
      </c>
      <c r="C12" s="265" t="s">
        <v>2326</v>
      </c>
      <c r="D12" s="268" t="s">
        <v>2370</v>
      </c>
      <c r="E12" s="268" t="s">
        <v>2371</v>
      </c>
      <c r="F12" s="257" t="s">
        <v>2372</v>
      </c>
      <c r="G12" s="257" t="s">
        <v>2376</v>
      </c>
      <c r="H12" s="257" t="s">
        <v>2354</v>
      </c>
      <c r="I12" s="473">
        <v>1</v>
      </c>
      <c r="J12" s="471">
        <v>44389</v>
      </c>
      <c r="K12" s="471">
        <v>44717</v>
      </c>
      <c r="L12" s="467">
        <f t="shared" si="1"/>
        <v>46.857142857142854</v>
      </c>
      <c r="M12" s="466">
        <v>45107</v>
      </c>
      <c r="N12" s="467">
        <f t="shared" si="2"/>
        <v>55.714285714285715</v>
      </c>
      <c r="O12" s="457" t="str">
        <f t="shared" ca="1" si="3"/>
        <v>Alerta</v>
      </c>
      <c r="P12" s="363">
        <v>1</v>
      </c>
      <c r="Q12" s="363">
        <f t="shared" si="0"/>
        <v>1</v>
      </c>
      <c r="R12" s="263"/>
      <c r="S12" s="263"/>
      <c r="T12" s="263"/>
      <c r="U12" s="460" t="str">
        <f t="shared" si="4"/>
        <v>Incumple</v>
      </c>
      <c r="V12" s="263" t="s">
        <v>2377</v>
      </c>
      <c r="W12" s="269" t="s">
        <v>2378</v>
      </c>
      <c r="X12" s="265"/>
      <c r="Y12" s="268" t="s">
        <v>2379</v>
      </c>
    </row>
    <row r="13" spans="1:25" s="459" customFormat="1" ht="309" customHeight="1" x14ac:dyDescent="0.2">
      <c r="A13" s="470">
        <v>6</v>
      </c>
      <c r="B13" s="265" t="s">
        <v>2155</v>
      </c>
      <c r="C13" s="265" t="s">
        <v>2326</v>
      </c>
      <c r="D13" s="268" t="s">
        <v>2380</v>
      </c>
      <c r="E13" s="268" t="s">
        <v>2381</v>
      </c>
      <c r="F13" s="257" t="s">
        <v>2382</v>
      </c>
      <c r="G13" s="257" t="s">
        <v>2383</v>
      </c>
      <c r="H13" s="257" t="s">
        <v>2384</v>
      </c>
      <c r="I13" s="465">
        <v>1</v>
      </c>
      <c r="J13" s="471">
        <v>44389</v>
      </c>
      <c r="K13" s="471">
        <v>44561</v>
      </c>
      <c r="L13" s="467">
        <f t="shared" si="1"/>
        <v>24.571428571428573</v>
      </c>
      <c r="M13" s="466">
        <v>44925</v>
      </c>
      <c r="N13" s="467">
        <f t="shared" si="2"/>
        <v>52</v>
      </c>
      <c r="O13" s="457" t="str">
        <f t="shared" ca="1" si="3"/>
        <v>Alerta</v>
      </c>
      <c r="P13" s="262">
        <v>1</v>
      </c>
      <c r="Q13" s="363">
        <f t="shared" si="0"/>
        <v>1</v>
      </c>
      <c r="R13" s="263"/>
      <c r="S13" s="263"/>
      <c r="T13" s="263"/>
      <c r="U13" s="460" t="str">
        <f t="shared" si="4"/>
        <v>Incumple</v>
      </c>
      <c r="V13" s="262"/>
      <c r="W13" s="265" t="s">
        <v>2385</v>
      </c>
      <c r="X13" s="265"/>
      <c r="Y13" s="268" t="s">
        <v>2386</v>
      </c>
    </row>
    <row r="14" spans="1:25" s="459" customFormat="1" ht="305.25" customHeight="1" x14ac:dyDescent="0.2">
      <c r="A14" s="470">
        <v>6</v>
      </c>
      <c r="B14" s="265" t="s">
        <v>2155</v>
      </c>
      <c r="C14" s="265" t="s">
        <v>2326</v>
      </c>
      <c r="D14" s="268" t="s">
        <v>2380</v>
      </c>
      <c r="E14" s="268" t="s">
        <v>2381</v>
      </c>
      <c r="F14" s="474" t="s">
        <v>2382</v>
      </c>
      <c r="G14" s="257" t="s">
        <v>2387</v>
      </c>
      <c r="H14" s="257" t="s">
        <v>2388</v>
      </c>
      <c r="I14" s="465">
        <v>1</v>
      </c>
      <c r="J14" s="471">
        <v>44389</v>
      </c>
      <c r="K14" s="471">
        <v>44561</v>
      </c>
      <c r="L14" s="467">
        <f t="shared" si="1"/>
        <v>24.571428571428573</v>
      </c>
      <c r="M14" s="466">
        <v>44925</v>
      </c>
      <c r="N14" s="467">
        <f t="shared" si="2"/>
        <v>52</v>
      </c>
      <c r="O14" s="457" t="str">
        <f t="shared" ca="1" si="3"/>
        <v>Alerta</v>
      </c>
      <c r="P14" s="262">
        <v>1</v>
      </c>
      <c r="Q14" s="363">
        <f t="shared" si="0"/>
        <v>1</v>
      </c>
      <c r="R14" s="263"/>
      <c r="S14" s="263"/>
      <c r="T14" s="263"/>
      <c r="U14" s="460" t="str">
        <f t="shared" si="4"/>
        <v>Incumple</v>
      </c>
      <c r="V14" s="262"/>
      <c r="W14" s="265" t="s">
        <v>2385</v>
      </c>
      <c r="X14" s="265"/>
      <c r="Y14" s="268" t="s">
        <v>2386</v>
      </c>
    </row>
    <row r="15" spans="1:25" s="459" customFormat="1" ht="372.75" customHeight="1" x14ac:dyDescent="0.2">
      <c r="A15" s="470">
        <v>6</v>
      </c>
      <c r="B15" s="265" t="s">
        <v>2155</v>
      </c>
      <c r="C15" s="265" t="s">
        <v>2326</v>
      </c>
      <c r="D15" s="268" t="s">
        <v>2380</v>
      </c>
      <c r="E15" s="268" t="s">
        <v>2381</v>
      </c>
      <c r="F15" s="257" t="s">
        <v>2382</v>
      </c>
      <c r="G15" s="257" t="s">
        <v>2389</v>
      </c>
      <c r="H15" s="257" t="s">
        <v>2390</v>
      </c>
      <c r="I15" s="465">
        <v>1</v>
      </c>
      <c r="J15" s="471">
        <v>44389</v>
      </c>
      <c r="K15" s="754">
        <v>45838</v>
      </c>
      <c r="L15" s="828">
        <f>(K15-J15)/7</f>
        <v>207</v>
      </c>
      <c r="M15" s="817">
        <v>45657</v>
      </c>
      <c r="N15" s="828">
        <f t="shared" si="2"/>
        <v>-25.857142857142858</v>
      </c>
      <c r="O15" s="457" t="str">
        <f t="shared" ca="1" si="3"/>
        <v>Alerta</v>
      </c>
      <c r="P15" s="257">
        <v>0.33</v>
      </c>
      <c r="Q15" s="363">
        <f>IF(P15/I15=1,1,+P15/I15)</f>
        <v>0.33</v>
      </c>
      <c r="R15" s="263"/>
      <c r="S15" s="263"/>
      <c r="T15" s="263"/>
      <c r="U15" s="460" t="str">
        <f t="shared" si="4"/>
        <v>Cumple</v>
      </c>
      <c r="V15" s="830" t="s">
        <v>2391</v>
      </c>
      <c r="W15" s="821" t="s">
        <v>2392</v>
      </c>
      <c r="X15" s="265"/>
      <c r="Y15" s="268" t="s">
        <v>2393</v>
      </c>
    </row>
    <row r="16" spans="1:25" s="459" customFormat="1" ht="225.6" customHeight="1" x14ac:dyDescent="0.2">
      <c r="A16" s="470">
        <v>7</v>
      </c>
      <c r="B16" s="265" t="s">
        <v>2155</v>
      </c>
      <c r="C16" s="265" t="s">
        <v>2326</v>
      </c>
      <c r="D16" s="268" t="s">
        <v>2394</v>
      </c>
      <c r="E16" s="268" t="s">
        <v>2395</v>
      </c>
      <c r="F16" s="257" t="s">
        <v>2396</v>
      </c>
      <c r="G16" s="257" t="s">
        <v>2397</v>
      </c>
      <c r="H16" s="257" t="s">
        <v>2398</v>
      </c>
      <c r="I16" s="465">
        <v>1</v>
      </c>
      <c r="J16" s="471">
        <v>44389</v>
      </c>
      <c r="K16" s="471">
        <v>44747</v>
      </c>
      <c r="L16" s="467">
        <f t="shared" si="1"/>
        <v>51.142857142857146</v>
      </c>
      <c r="M16" s="466">
        <v>44925</v>
      </c>
      <c r="N16" s="467">
        <f t="shared" si="2"/>
        <v>25.428571428571427</v>
      </c>
      <c r="O16" s="457" t="str">
        <f t="shared" ca="1" si="3"/>
        <v>Alerta</v>
      </c>
      <c r="P16" s="262">
        <v>1</v>
      </c>
      <c r="Q16" s="363">
        <f t="shared" si="0"/>
        <v>1</v>
      </c>
      <c r="R16" s="263"/>
      <c r="S16" s="263"/>
      <c r="T16" s="263"/>
      <c r="U16" s="460" t="str">
        <f t="shared" si="4"/>
        <v>Incumple</v>
      </c>
      <c r="V16" s="262" t="s">
        <v>2399</v>
      </c>
      <c r="W16" s="265" t="s">
        <v>2400</v>
      </c>
      <c r="X16" s="265"/>
      <c r="Y16" s="268" t="s">
        <v>2401</v>
      </c>
    </row>
    <row r="17" spans="1:25" s="459" customFormat="1" ht="312.95" customHeight="1" x14ac:dyDescent="0.2">
      <c r="A17" s="470">
        <v>7</v>
      </c>
      <c r="B17" s="265" t="s">
        <v>2155</v>
      </c>
      <c r="C17" s="265" t="s">
        <v>2326</v>
      </c>
      <c r="D17" s="268" t="s">
        <v>2394</v>
      </c>
      <c r="E17" s="268" t="s">
        <v>2395</v>
      </c>
      <c r="F17" s="257" t="s">
        <v>2402</v>
      </c>
      <c r="G17" s="257" t="s">
        <v>2403</v>
      </c>
      <c r="H17" s="257" t="s">
        <v>2404</v>
      </c>
      <c r="I17" s="473">
        <v>1</v>
      </c>
      <c r="J17" s="471">
        <v>44389</v>
      </c>
      <c r="K17" s="471">
        <v>44747</v>
      </c>
      <c r="L17" s="467">
        <f t="shared" si="1"/>
        <v>51.142857142857146</v>
      </c>
      <c r="M17" s="466">
        <v>45485</v>
      </c>
      <c r="N17" s="467">
        <f t="shared" si="2"/>
        <v>105.42857142857143</v>
      </c>
      <c r="O17" s="457" t="str">
        <f t="shared" ca="1" si="3"/>
        <v>Alerta</v>
      </c>
      <c r="P17" s="363">
        <v>1</v>
      </c>
      <c r="Q17" s="363">
        <f t="shared" si="0"/>
        <v>1</v>
      </c>
      <c r="R17" s="263"/>
      <c r="S17" s="263"/>
      <c r="T17" s="263"/>
      <c r="U17" s="460" t="str">
        <f t="shared" si="4"/>
        <v>Incumple</v>
      </c>
      <c r="V17" s="224" t="s">
        <v>2405</v>
      </c>
      <c r="W17" s="264" t="s">
        <v>2406</v>
      </c>
      <c r="X17" s="265"/>
      <c r="Y17" s="268" t="s">
        <v>2407</v>
      </c>
    </row>
    <row r="18" spans="1:25" s="459" customFormat="1" ht="289.5" customHeight="1" x14ac:dyDescent="0.2">
      <c r="A18" s="470">
        <v>7</v>
      </c>
      <c r="B18" s="265" t="s">
        <v>2155</v>
      </c>
      <c r="C18" s="265" t="s">
        <v>2326</v>
      </c>
      <c r="D18" s="268" t="s">
        <v>2394</v>
      </c>
      <c r="E18" s="268" t="s">
        <v>2395</v>
      </c>
      <c r="F18" s="257" t="s">
        <v>2402</v>
      </c>
      <c r="G18" s="257" t="s">
        <v>2408</v>
      </c>
      <c r="H18" s="257" t="s">
        <v>2409</v>
      </c>
      <c r="I18" s="473">
        <v>1</v>
      </c>
      <c r="J18" s="471">
        <v>44389</v>
      </c>
      <c r="K18" s="471">
        <v>44747</v>
      </c>
      <c r="L18" s="467">
        <f t="shared" si="1"/>
        <v>51.142857142857146</v>
      </c>
      <c r="M18" s="466">
        <v>45107</v>
      </c>
      <c r="N18" s="467">
        <f t="shared" si="2"/>
        <v>51.428571428571431</v>
      </c>
      <c r="O18" s="457" t="str">
        <f t="shared" ca="1" si="3"/>
        <v>Alerta</v>
      </c>
      <c r="P18" s="363">
        <v>1</v>
      </c>
      <c r="Q18" s="363">
        <f t="shared" si="0"/>
        <v>1</v>
      </c>
      <c r="R18" s="263"/>
      <c r="S18" s="263"/>
      <c r="T18" s="263"/>
      <c r="U18" s="460" t="str">
        <f t="shared" si="4"/>
        <v>Incumple</v>
      </c>
      <c r="V18" s="262" t="s">
        <v>2348</v>
      </c>
      <c r="W18" s="265" t="s">
        <v>2410</v>
      </c>
      <c r="X18" s="265"/>
      <c r="Y18" s="268" t="s">
        <v>2407</v>
      </c>
    </row>
    <row r="19" spans="1:25" s="459" customFormat="1" ht="255.95" customHeight="1" x14ac:dyDescent="0.2">
      <c r="A19" s="470">
        <v>8</v>
      </c>
      <c r="B19" s="265" t="s">
        <v>2155</v>
      </c>
      <c r="C19" s="265" t="s">
        <v>2326</v>
      </c>
      <c r="D19" s="268" t="s">
        <v>2411</v>
      </c>
      <c r="E19" s="268" t="s">
        <v>2412</v>
      </c>
      <c r="F19" s="257" t="s">
        <v>2413</v>
      </c>
      <c r="G19" s="257" t="s">
        <v>2414</v>
      </c>
      <c r="H19" s="472" t="s">
        <v>1258</v>
      </c>
      <c r="I19" s="465">
        <v>2</v>
      </c>
      <c r="J19" s="471">
        <v>44389</v>
      </c>
      <c r="K19" s="471">
        <v>44530</v>
      </c>
      <c r="L19" s="467">
        <f t="shared" si="1"/>
        <v>20.142857142857142</v>
      </c>
      <c r="M19" s="471">
        <v>44560</v>
      </c>
      <c r="N19" s="467">
        <f t="shared" si="2"/>
        <v>4.2857142857142856</v>
      </c>
      <c r="O19" s="457" t="str">
        <f t="shared" ca="1" si="3"/>
        <v>Alerta</v>
      </c>
      <c r="P19" s="262">
        <v>2</v>
      </c>
      <c r="Q19" s="363">
        <f t="shared" si="0"/>
        <v>1</v>
      </c>
      <c r="R19" s="263"/>
      <c r="S19" s="263"/>
      <c r="T19" s="263"/>
      <c r="U19" s="460" t="str">
        <f t="shared" si="4"/>
        <v>Incumple</v>
      </c>
      <c r="V19" s="262" t="s">
        <v>2415</v>
      </c>
      <c r="W19" s="265" t="s">
        <v>2416</v>
      </c>
      <c r="X19" s="265"/>
      <c r="Y19" s="268" t="s">
        <v>2417</v>
      </c>
    </row>
    <row r="20" spans="1:25" s="459" customFormat="1" ht="335.45" customHeight="1" x14ac:dyDescent="0.2">
      <c r="A20" s="470">
        <v>9</v>
      </c>
      <c r="B20" s="265" t="s">
        <v>2155</v>
      </c>
      <c r="C20" s="265" t="s">
        <v>2326</v>
      </c>
      <c r="D20" s="268" t="s">
        <v>2418</v>
      </c>
      <c r="E20" s="268" t="s">
        <v>2419</v>
      </c>
      <c r="F20" s="257" t="s">
        <v>2420</v>
      </c>
      <c r="G20" s="257" t="s">
        <v>2421</v>
      </c>
      <c r="H20" s="257" t="s">
        <v>2422</v>
      </c>
      <c r="I20" s="473">
        <v>1</v>
      </c>
      <c r="J20" s="471">
        <v>44389</v>
      </c>
      <c r="K20" s="466">
        <v>44423</v>
      </c>
      <c r="L20" s="467">
        <f t="shared" si="1"/>
        <v>4.8571428571428568</v>
      </c>
      <c r="M20" s="466">
        <v>44925</v>
      </c>
      <c r="N20" s="467">
        <f t="shared" si="2"/>
        <v>71.714285714285708</v>
      </c>
      <c r="O20" s="457" t="str">
        <f t="shared" ca="1" si="3"/>
        <v>Alerta</v>
      </c>
      <c r="P20" s="363">
        <v>1</v>
      </c>
      <c r="Q20" s="363">
        <f t="shared" si="0"/>
        <v>1</v>
      </c>
      <c r="R20" s="263"/>
      <c r="S20" s="263"/>
      <c r="T20" s="263"/>
      <c r="U20" s="460" t="str">
        <f t="shared" si="4"/>
        <v>Incumple</v>
      </c>
      <c r="V20" s="262" t="s">
        <v>2423</v>
      </c>
      <c r="W20" s="265" t="s">
        <v>2424</v>
      </c>
      <c r="X20" s="265"/>
      <c r="Y20" s="268" t="s">
        <v>2425</v>
      </c>
    </row>
    <row r="21" spans="1:25" s="459" customFormat="1" ht="375.6" customHeight="1" x14ac:dyDescent="0.2">
      <c r="A21" s="470">
        <v>9</v>
      </c>
      <c r="B21" s="265" t="s">
        <v>2155</v>
      </c>
      <c r="C21" s="265" t="s">
        <v>2326</v>
      </c>
      <c r="D21" s="268" t="s">
        <v>2418</v>
      </c>
      <c r="E21" s="268" t="s">
        <v>2419</v>
      </c>
      <c r="F21" s="257" t="s">
        <v>2420</v>
      </c>
      <c r="G21" s="257" t="s">
        <v>2421</v>
      </c>
      <c r="H21" s="257" t="s">
        <v>2426</v>
      </c>
      <c r="I21" s="473">
        <v>1</v>
      </c>
      <c r="J21" s="471">
        <v>44389</v>
      </c>
      <c r="K21" s="466">
        <v>44560</v>
      </c>
      <c r="L21" s="467">
        <f t="shared" si="1"/>
        <v>24.428571428571427</v>
      </c>
      <c r="M21" s="466">
        <v>44925</v>
      </c>
      <c r="N21" s="467">
        <f t="shared" si="2"/>
        <v>52.142857142857146</v>
      </c>
      <c r="O21" s="457" t="str">
        <f t="shared" ca="1" si="3"/>
        <v>Alerta</v>
      </c>
      <c r="P21" s="363">
        <v>1</v>
      </c>
      <c r="Q21" s="363">
        <f t="shared" si="0"/>
        <v>1</v>
      </c>
      <c r="R21" s="263"/>
      <c r="S21" s="263"/>
      <c r="T21" s="263"/>
      <c r="U21" s="460" t="str">
        <f t="shared" si="4"/>
        <v>Incumple</v>
      </c>
      <c r="V21" s="262" t="s">
        <v>2423</v>
      </c>
      <c r="W21" s="265" t="s">
        <v>2427</v>
      </c>
      <c r="X21" s="265"/>
      <c r="Y21" s="268" t="s">
        <v>2425</v>
      </c>
    </row>
    <row r="22" spans="1:25" s="459" customFormat="1" ht="114" x14ac:dyDescent="0.2">
      <c r="A22" s="470">
        <v>10</v>
      </c>
      <c r="B22" s="265" t="s">
        <v>2155</v>
      </c>
      <c r="C22" s="265" t="s">
        <v>2326</v>
      </c>
      <c r="D22" s="268" t="s">
        <v>2428</v>
      </c>
      <c r="E22" s="268" t="s">
        <v>2429</v>
      </c>
      <c r="F22" s="257" t="s">
        <v>2430</v>
      </c>
      <c r="G22" s="257" t="s">
        <v>2431</v>
      </c>
      <c r="H22" s="257" t="s">
        <v>2432</v>
      </c>
      <c r="I22" s="465">
        <v>1</v>
      </c>
      <c r="J22" s="471">
        <v>44389</v>
      </c>
      <c r="K22" s="466">
        <v>44407</v>
      </c>
      <c r="L22" s="467">
        <f t="shared" si="1"/>
        <v>2.5714285714285716</v>
      </c>
      <c r="M22" s="466">
        <v>45107</v>
      </c>
      <c r="N22" s="467">
        <f t="shared" si="2"/>
        <v>100</v>
      </c>
      <c r="O22" s="457" t="str">
        <f t="shared" ca="1" si="3"/>
        <v>Alerta</v>
      </c>
      <c r="P22" s="262">
        <v>1</v>
      </c>
      <c r="Q22" s="363">
        <f t="shared" si="0"/>
        <v>1</v>
      </c>
      <c r="R22" s="263"/>
      <c r="S22" s="263"/>
      <c r="T22" s="263"/>
      <c r="U22" s="460" t="str">
        <f t="shared" si="4"/>
        <v>Incumple</v>
      </c>
      <c r="V22" s="262" t="s">
        <v>2433</v>
      </c>
      <c r="W22" s="270" t="s">
        <v>2434</v>
      </c>
      <c r="X22" s="271">
        <f ca="1">TODAY()</f>
        <v>45770</v>
      </c>
      <c r="Y22" s="268" t="s">
        <v>2435</v>
      </c>
    </row>
    <row r="23" spans="1:25" s="459" customFormat="1" ht="151.5" customHeight="1" x14ac:dyDescent="0.2">
      <c r="A23" s="470">
        <v>10</v>
      </c>
      <c r="B23" s="265" t="s">
        <v>2155</v>
      </c>
      <c r="C23" s="265" t="s">
        <v>2326</v>
      </c>
      <c r="D23" s="268" t="s">
        <v>2428</v>
      </c>
      <c r="E23" s="268" t="s">
        <v>2436</v>
      </c>
      <c r="F23" s="257" t="s">
        <v>2430</v>
      </c>
      <c r="G23" s="257" t="s">
        <v>2437</v>
      </c>
      <c r="H23" s="257" t="s">
        <v>2438</v>
      </c>
      <c r="I23" s="465">
        <v>2</v>
      </c>
      <c r="J23" s="471">
        <v>44389</v>
      </c>
      <c r="K23" s="466">
        <v>44747</v>
      </c>
      <c r="L23" s="467">
        <f t="shared" si="1"/>
        <v>51.142857142857146</v>
      </c>
      <c r="M23" s="466">
        <v>45107</v>
      </c>
      <c r="N23" s="467">
        <f t="shared" si="2"/>
        <v>51.428571428571431</v>
      </c>
      <c r="O23" s="457" t="str">
        <f t="shared" ca="1" si="3"/>
        <v>Alerta</v>
      </c>
      <c r="P23" s="262">
        <v>2</v>
      </c>
      <c r="Q23" s="363">
        <f t="shared" si="0"/>
        <v>1</v>
      </c>
      <c r="R23" s="263"/>
      <c r="S23" s="263"/>
      <c r="T23" s="263"/>
      <c r="U23" s="460" t="str">
        <f t="shared" si="4"/>
        <v>Incumple</v>
      </c>
      <c r="V23" s="262" t="s">
        <v>2439</v>
      </c>
      <c r="W23" s="265" t="s">
        <v>2440</v>
      </c>
      <c r="X23" s="265"/>
      <c r="Y23" s="268" t="s">
        <v>2435</v>
      </c>
    </row>
    <row r="24" spans="1:25" s="459" customFormat="1" ht="353.1" customHeight="1" x14ac:dyDescent="0.2">
      <c r="A24" s="470">
        <v>10</v>
      </c>
      <c r="B24" s="265" t="s">
        <v>2155</v>
      </c>
      <c r="C24" s="265" t="s">
        <v>2326</v>
      </c>
      <c r="D24" s="268" t="s">
        <v>2428</v>
      </c>
      <c r="E24" s="268" t="s">
        <v>2436</v>
      </c>
      <c r="F24" s="257" t="s">
        <v>2430</v>
      </c>
      <c r="G24" s="257" t="s">
        <v>2441</v>
      </c>
      <c r="H24" s="257" t="s">
        <v>2438</v>
      </c>
      <c r="I24" s="465">
        <v>2</v>
      </c>
      <c r="J24" s="471">
        <v>44389</v>
      </c>
      <c r="K24" s="466">
        <v>44747</v>
      </c>
      <c r="L24" s="467">
        <f t="shared" si="1"/>
        <v>51.142857142857146</v>
      </c>
      <c r="M24" s="466">
        <v>45107</v>
      </c>
      <c r="N24" s="467">
        <f t="shared" si="2"/>
        <v>51.428571428571431</v>
      </c>
      <c r="O24" s="457" t="str">
        <f t="shared" ca="1" si="3"/>
        <v>Alerta</v>
      </c>
      <c r="P24" s="262">
        <v>2</v>
      </c>
      <c r="Q24" s="363">
        <f t="shared" si="0"/>
        <v>1</v>
      </c>
      <c r="R24" s="263"/>
      <c r="S24" s="263"/>
      <c r="T24" s="263"/>
      <c r="U24" s="460" t="str">
        <f t="shared" si="4"/>
        <v>Incumple</v>
      </c>
      <c r="V24" s="262" t="s">
        <v>2439</v>
      </c>
      <c r="W24" s="265" t="s">
        <v>2442</v>
      </c>
      <c r="X24" s="265"/>
      <c r="Y24" s="268" t="s">
        <v>2435</v>
      </c>
    </row>
    <row r="25" spans="1:25" s="459" customFormat="1" ht="327" customHeight="1" x14ac:dyDescent="0.2">
      <c r="A25" s="470">
        <v>11</v>
      </c>
      <c r="B25" s="265" t="s">
        <v>2155</v>
      </c>
      <c r="C25" s="265" t="s">
        <v>2326</v>
      </c>
      <c r="D25" s="268" t="s">
        <v>2443</v>
      </c>
      <c r="E25" s="268" t="s">
        <v>2444</v>
      </c>
      <c r="F25" s="257" t="s">
        <v>2445</v>
      </c>
      <c r="G25" s="257" t="s">
        <v>2446</v>
      </c>
      <c r="H25" s="257" t="s">
        <v>2447</v>
      </c>
      <c r="I25" s="465">
        <v>4</v>
      </c>
      <c r="J25" s="471">
        <v>44389</v>
      </c>
      <c r="K25" s="471">
        <v>44561</v>
      </c>
      <c r="L25" s="467">
        <f t="shared" si="1"/>
        <v>24.571428571428573</v>
      </c>
      <c r="M25" s="471">
        <v>44560</v>
      </c>
      <c r="N25" s="467">
        <f t="shared" si="2"/>
        <v>-0.14285714285714285</v>
      </c>
      <c r="O25" s="457" t="str">
        <f t="shared" ca="1" si="3"/>
        <v>Alerta</v>
      </c>
      <c r="P25" s="262">
        <v>4</v>
      </c>
      <c r="Q25" s="363">
        <f t="shared" si="0"/>
        <v>1</v>
      </c>
      <c r="R25" s="263"/>
      <c r="S25" s="263"/>
      <c r="T25" s="263"/>
      <c r="U25" s="460" t="str">
        <f t="shared" si="4"/>
        <v>Cumple</v>
      </c>
      <c r="V25" s="262" t="s">
        <v>2448</v>
      </c>
      <c r="W25" s="265" t="s">
        <v>2449</v>
      </c>
      <c r="X25" s="265"/>
      <c r="Y25" s="268" t="s">
        <v>2450</v>
      </c>
    </row>
    <row r="26" spans="1:25" s="459" customFormat="1" ht="318" customHeight="1" x14ac:dyDescent="0.2">
      <c r="A26" s="470">
        <v>11</v>
      </c>
      <c r="B26" s="265" t="s">
        <v>2155</v>
      </c>
      <c r="C26" s="265" t="s">
        <v>2326</v>
      </c>
      <c r="D26" s="268" t="s">
        <v>2443</v>
      </c>
      <c r="E26" s="268" t="s">
        <v>2444</v>
      </c>
      <c r="F26" s="257" t="s">
        <v>2445</v>
      </c>
      <c r="G26" s="257" t="s">
        <v>2451</v>
      </c>
      <c r="H26" s="257" t="s">
        <v>2452</v>
      </c>
      <c r="I26" s="465">
        <v>1</v>
      </c>
      <c r="J26" s="471">
        <v>44389</v>
      </c>
      <c r="K26" s="471">
        <v>44561</v>
      </c>
      <c r="L26" s="467">
        <f t="shared" si="1"/>
        <v>24.571428571428573</v>
      </c>
      <c r="M26" s="471">
        <v>44560</v>
      </c>
      <c r="N26" s="467">
        <f t="shared" si="2"/>
        <v>-0.14285714285714285</v>
      </c>
      <c r="O26" s="457" t="str">
        <f t="shared" ca="1" si="3"/>
        <v>Alerta</v>
      </c>
      <c r="P26" s="262">
        <v>1</v>
      </c>
      <c r="Q26" s="363">
        <f t="shared" si="0"/>
        <v>1</v>
      </c>
      <c r="R26" s="263"/>
      <c r="S26" s="263"/>
      <c r="T26" s="263"/>
      <c r="U26" s="460" t="str">
        <f t="shared" si="4"/>
        <v>Cumple</v>
      </c>
      <c r="V26" s="262" t="s">
        <v>2453</v>
      </c>
      <c r="W26" s="265" t="s">
        <v>2454</v>
      </c>
      <c r="X26" s="265"/>
      <c r="Y26" s="268" t="s">
        <v>2455</v>
      </c>
    </row>
    <row r="27" spans="1:25" s="459" customFormat="1" ht="153.75" customHeight="1" x14ac:dyDescent="0.2">
      <c r="A27" s="1122">
        <v>12</v>
      </c>
      <c r="B27" s="1123" t="s">
        <v>2155</v>
      </c>
      <c r="C27" s="1123" t="s">
        <v>2326</v>
      </c>
      <c r="D27" s="1124" t="s">
        <v>2456</v>
      </c>
      <c r="E27" s="1121" t="s">
        <v>2457</v>
      </c>
      <c r="F27" s="1121" t="s">
        <v>2458</v>
      </c>
      <c r="G27" s="143" t="s">
        <v>2459</v>
      </c>
      <c r="H27" s="143" t="s">
        <v>2460</v>
      </c>
      <c r="I27" s="251">
        <v>1</v>
      </c>
      <c r="J27" s="356">
        <v>44784</v>
      </c>
      <c r="K27" s="356">
        <v>44888</v>
      </c>
      <c r="L27" s="467">
        <f t="shared" si="1"/>
        <v>14.857142857142858</v>
      </c>
      <c r="M27" s="466">
        <v>45107</v>
      </c>
      <c r="N27" s="467">
        <f t="shared" si="2"/>
        <v>31.285714285714285</v>
      </c>
      <c r="O27" s="457" t="str">
        <f t="shared" ca="1" si="3"/>
        <v>Alerta</v>
      </c>
      <c r="P27" s="272">
        <v>1</v>
      </c>
      <c r="Q27" s="363">
        <f t="shared" ref="Q27:Q32" si="5">IF(P27/I27=1,1,+P27/I27)</f>
        <v>1</v>
      </c>
      <c r="R27" s="263"/>
      <c r="S27" s="263"/>
      <c r="T27" s="263"/>
      <c r="U27" s="460" t="str">
        <f t="shared" si="4"/>
        <v>Incumple</v>
      </c>
      <c r="V27" s="272" t="s">
        <v>2461</v>
      </c>
      <c r="W27" s="265" t="s">
        <v>2462</v>
      </c>
      <c r="X27" s="265"/>
      <c r="Y27" s="268"/>
    </row>
    <row r="28" spans="1:25" s="459" customFormat="1" ht="243" customHeight="1" x14ac:dyDescent="0.2">
      <c r="A28" s="1122"/>
      <c r="B28" s="1123"/>
      <c r="C28" s="1123"/>
      <c r="D28" s="1124"/>
      <c r="E28" s="1121"/>
      <c r="F28" s="1121"/>
      <c r="G28" s="143" t="s">
        <v>2463</v>
      </c>
      <c r="H28" s="143" t="s">
        <v>2464</v>
      </c>
      <c r="I28" s="475">
        <v>1</v>
      </c>
      <c r="J28" s="356">
        <v>44815</v>
      </c>
      <c r="K28" s="356">
        <v>44910</v>
      </c>
      <c r="L28" s="467">
        <f t="shared" si="1"/>
        <v>13.571428571428571</v>
      </c>
      <c r="M28" s="466">
        <v>45107</v>
      </c>
      <c r="N28" s="467">
        <f t="shared" si="2"/>
        <v>28.142857142857142</v>
      </c>
      <c r="O28" s="457" t="str">
        <f t="shared" ca="1" si="3"/>
        <v>Alerta</v>
      </c>
      <c r="P28" s="275">
        <v>1</v>
      </c>
      <c r="Q28" s="363">
        <f t="shared" si="5"/>
        <v>1</v>
      </c>
      <c r="R28" s="263"/>
      <c r="S28" s="263"/>
      <c r="T28" s="263"/>
      <c r="U28" s="460" t="str">
        <f t="shared" si="4"/>
        <v>Incumple</v>
      </c>
      <c r="V28" s="272" t="s">
        <v>2465</v>
      </c>
      <c r="W28" s="265" t="s">
        <v>2466</v>
      </c>
      <c r="X28" s="265"/>
      <c r="Y28" s="268"/>
    </row>
    <row r="29" spans="1:25" s="459" customFormat="1" ht="333.75" customHeight="1" x14ac:dyDescent="0.2">
      <c r="A29" s="1122"/>
      <c r="B29" s="1123"/>
      <c r="C29" s="1123"/>
      <c r="D29" s="1124"/>
      <c r="E29" s="1121"/>
      <c r="F29" s="1121"/>
      <c r="G29" s="143" t="s">
        <v>2467</v>
      </c>
      <c r="H29" s="143" t="s">
        <v>2468</v>
      </c>
      <c r="I29" s="251">
        <v>1</v>
      </c>
      <c r="J29" s="356">
        <v>44784</v>
      </c>
      <c r="K29" s="140">
        <v>45838</v>
      </c>
      <c r="L29" s="828">
        <f>(K29-J29)/7</f>
        <v>150.57142857142858</v>
      </c>
      <c r="M29" s="817">
        <v>45656</v>
      </c>
      <c r="N29" s="828">
        <f t="shared" si="2"/>
        <v>-26</v>
      </c>
      <c r="O29" s="457" t="str">
        <f t="shared" ca="1" si="3"/>
        <v>Alerta</v>
      </c>
      <c r="P29" s="143">
        <v>0.5</v>
      </c>
      <c r="Q29" s="493">
        <f t="shared" si="5"/>
        <v>0.5</v>
      </c>
      <c r="R29" s="263"/>
      <c r="S29" s="263"/>
      <c r="T29" s="263"/>
      <c r="U29" s="458" t="str">
        <f t="shared" si="4"/>
        <v>Cumple</v>
      </c>
      <c r="V29" s="139" t="s">
        <v>2469</v>
      </c>
      <c r="W29" s="821" t="s">
        <v>2470</v>
      </c>
      <c r="X29" s="265"/>
      <c r="Y29" s="268" t="s">
        <v>2471</v>
      </c>
    </row>
    <row r="30" spans="1:25" s="459" customFormat="1" ht="135" customHeight="1" x14ac:dyDescent="0.2">
      <c r="A30" s="1122">
        <v>13</v>
      </c>
      <c r="B30" s="1123" t="s">
        <v>2155</v>
      </c>
      <c r="C30" s="1123" t="s">
        <v>2326</v>
      </c>
      <c r="D30" s="1124" t="s">
        <v>2472</v>
      </c>
      <c r="E30" s="1121" t="s">
        <v>2457</v>
      </c>
      <c r="F30" s="1121" t="s">
        <v>2458</v>
      </c>
      <c r="G30" s="143" t="s">
        <v>2459</v>
      </c>
      <c r="H30" s="143" t="s">
        <v>2460</v>
      </c>
      <c r="I30" s="251">
        <v>1</v>
      </c>
      <c r="J30" s="356">
        <v>44784</v>
      </c>
      <c r="K30" s="356">
        <v>44888</v>
      </c>
      <c r="L30" s="467">
        <f t="shared" si="1"/>
        <v>14.857142857142858</v>
      </c>
      <c r="M30" s="466">
        <v>45107</v>
      </c>
      <c r="N30" s="467">
        <f t="shared" si="2"/>
        <v>31.285714285714285</v>
      </c>
      <c r="O30" s="457" t="str">
        <f t="shared" ca="1" si="3"/>
        <v>Alerta</v>
      </c>
      <c r="P30" s="272">
        <v>1</v>
      </c>
      <c r="Q30" s="363">
        <f t="shared" si="5"/>
        <v>1</v>
      </c>
      <c r="R30" s="263"/>
      <c r="S30" s="263"/>
      <c r="T30" s="263"/>
      <c r="U30" s="460" t="str">
        <f t="shared" si="4"/>
        <v>Incumple</v>
      </c>
      <c r="V30" s="272" t="s">
        <v>2461</v>
      </c>
      <c r="W30" s="265" t="s">
        <v>2462</v>
      </c>
      <c r="X30" s="265"/>
      <c r="Y30" s="268"/>
    </row>
    <row r="31" spans="1:25" s="459" customFormat="1" ht="242.25" customHeight="1" x14ac:dyDescent="0.2">
      <c r="A31" s="1122"/>
      <c r="B31" s="1123"/>
      <c r="C31" s="1123"/>
      <c r="D31" s="1124"/>
      <c r="E31" s="1121"/>
      <c r="F31" s="1121"/>
      <c r="G31" s="143" t="s">
        <v>2463</v>
      </c>
      <c r="H31" s="143" t="s">
        <v>2464</v>
      </c>
      <c r="I31" s="475">
        <v>1</v>
      </c>
      <c r="J31" s="356">
        <v>44815</v>
      </c>
      <c r="K31" s="356">
        <v>44910</v>
      </c>
      <c r="L31" s="467">
        <f t="shared" si="1"/>
        <v>13.571428571428571</v>
      </c>
      <c r="M31" s="466">
        <v>45107</v>
      </c>
      <c r="N31" s="467">
        <f t="shared" si="2"/>
        <v>28.142857142857142</v>
      </c>
      <c r="O31" s="457" t="str">
        <f t="shared" ca="1" si="3"/>
        <v>Alerta</v>
      </c>
      <c r="P31" s="275">
        <v>1</v>
      </c>
      <c r="Q31" s="363">
        <f t="shared" si="5"/>
        <v>1</v>
      </c>
      <c r="R31" s="263"/>
      <c r="S31" s="263"/>
      <c r="T31" s="263"/>
      <c r="U31" s="460" t="str">
        <f t="shared" si="4"/>
        <v>Incumple</v>
      </c>
      <c r="V31" s="272" t="s">
        <v>2465</v>
      </c>
      <c r="W31" s="265" t="s">
        <v>2466</v>
      </c>
      <c r="X31" s="265"/>
      <c r="Y31" s="268"/>
    </row>
    <row r="32" spans="1:25" s="459" customFormat="1" ht="316.5" customHeight="1" x14ac:dyDescent="0.2">
      <c r="A32" s="1122"/>
      <c r="B32" s="1123"/>
      <c r="C32" s="1123"/>
      <c r="D32" s="1124"/>
      <c r="E32" s="1121"/>
      <c r="F32" s="1121"/>
      <c r="G32" s="143" t="s">
        <v>2467</v>
      </c>
      <c r="H32" s="143" t="s">
        <v>2468</v>
      </c>
      <c r="I32" s="251">
        <v>1</v>
      </c>
      <c r="J32" s="356">
        <v>44784</v>
      </c>
      <c r="K32" s="750">
        <v>45838</v>
      </c>
      <c r="L32" s="828">
        <f>(K32-J32)/7</f>
        <v>150.57142857142858</v>
      </c>
      <c r="M32" s="829">
        <v>45656</v>
      </c>
      <c r="N32" s="828">
        <f>(M32-K32)/7</f>
        <v>-26</v>
      </c>
      <c r="O32" s="457" t="str">
        <f t="shared" ca="1" si="3"/>
        <v>Alerta</v>
      </c>
      <c r="P32" s="143">
        <v>0.5</v>
      </c>
      <c r="Q32" s="493">
        <f t="shared" si="5"/>
        <v>0.5</v>
      </c>
      <c r="R32" s="263"/>
      <c r="S32" s="263"/>
      <c r="T32" s="263"/>
      <c r="U32" s="458" t="str">
        <f>IF(M32&lt;=K32,"Cumple","Incumple")</f>
        <v>Cumple</v>
      </c>
      <c r="V32" s="139" t="s">
        <v>2473</v>
      </c>
      <c r="W32" s="821" t="s">
        <v>2470</v>
      </c>
      <c r="X32" s="265"/>
      <c r="Y32" s="268" t="s">
        <v>2474</v>
      </c>
    </row>
    <row r="33" spans="1:25" s="459" customFormat="1" ht="86.25" customHeight="1" x14ac:dyDescent="0.2">
      <c r="A33" s="470">
        <v>14</v>
      </c>
      <c r="B33" s="265" t="s">
        <v>2155</v>
      </c>
      <c r="C33" s="265" t="s">
        <v>2326</v>
      </c>
      <c r="D33" s="268" t="s">
        <v>2475</v>
      </c>
      <c r="E33" s="268" t="s">
        <v>2476</v>
      </c>
      <c r="F33" s="257" t="s">
        <v>2477</v>
      </c>
      <c r="G33" s="257" t="s">
        <v>2478</v>
      </c>
      <c r="H33" s="257" t="s">
        <v>2479</v>
      </c>
      <c r="I33" s="465">
        <v>12</v>
      </c>
      <c r="J33" s="471">
        <v>44389</v>
      </c>
      <c r="K33" s="471">
        <v>44767</v>
      </c>
      <c r="L33" s="467">
        <f t="shared" si="1"/>
        <v>54</v>
      </c>
      <c r="M33" s="466">
        <v>44925</v>
      </c>
      <c r="N33" s="467">
        <f t="shared" si="2"/>
        <v>22.571428571428573</v>
      </c>
      <c r="O33" s="457" t="str">
        <f t="shared" ca="1" si="3"/>
        <v>Alerta</v>
      </c>
      <c r="P33" s="262">
        <v>12</v>
      </c>
      <c r="Q33" s="363">
        <f t="shared" si="0"/>
        <v>1</v>
      </c>
      <c r="R33" s="263"/>
      <c r="S33" s="263"/>
      <c r="T33" s="263"/>
      <c r="U33" s="460" t="str">
        <f>IF(M33&lt;=K33,"Cumple","Incumple")</f>
        <v>Incumple</v>
      </c>
      <c r="V33" s="283" t="s">
        <v>2480</v>
      </c>
      <c r="W33" s="267" t="s">
        <v>2481</v>
      </c>
      <c r="X33" s="265"/>
      <c r="Y33" s="268" t="s">
        <v>2482</v>
      </c>
    </row>
    <row r="34" spans="1:25" ht="76.5" customHeight="1" x14ac:dyDescent="0.2">
      <c r="A34" s="61"/>
      <c r="B34" s="61"/>
      <c r="C34" s="61"/>
      <c r="D34" s="61"/>
      <c r="E34" s="61"/>
      <c r="F34" s="61"/>
      <c r="G34" s="61"/>
      <c r="H34" s="61"/>
      <c r="I34" s="61"/>
      <c r="J34" s="98"/>
      <c r="K34" s="98"/>
      <c r="L34" s="94"/>
      <c r="M34" s="95"/>
      <c r="N34" s="94"/>
      <c r="O34" s="94"/>
      <c r="P34" s="94"/>
      <c r="Q34" s="111">
        <f>AVERAGE(Q4:Q33)</f>
        <v>0.94433333333333325</v>
      </c>
      <c r="R34" s="94"/>
      <c r="S34" s="94"/>
      <c r="T34" s="94"/>
      <c r="U34" s="121">
        <f>(COUNTIF(U4:U33,"Cumple")*100%)/COUNTA(U4:U33)</f>
        <v>0.23333333333333334</v>
      </c>
    </row>
  </sheetData>
  <autoFilter ref="A3:Y34" xr:uid="{00000000-0001-0000-0E00-000000000000}"/>
  <mergeCells count="13">
    <mergeCell ref="A1:Y2"/>
    <mergeCell ref="A27:A29"/>
    <mergeCell ref="B27:B29"/>
    <mergeCell ref="C27:C29"/>
    <mergeCell ref="D27:D29"/>
    <mergeCell ref="E27:E29"/>
    <mergeCell ref="F27:F29"/>
    <mergeCell ref="F30:F32"/>
    <mergeCell ref="A30:A32"/>
    <mergeCell ref="B30:B32"/>
    <mergeCell ref="C30:C32"/>
    <mergeCell ref="D30:D32"/>
    <mergeCell ref="E30:E32"/>
  </mergeCells>
  <conditionalFormatting sqref="O4:O33">
    <cfRule type="containsText" dxfId="60" priority="19" operator="containsText" text="Alerta">
      <formula>NOT(ISERROR(SEARCH("Alerta",O4)))</formula>
    </cfRule>
    <cfRule type="containsText" dxfId="59" priority="20" operator="containsText" text="En tiempo">
      <formula>NOT(ISERROR(SEARCH("En tiempo",O4)))</formula>
    </cfRule>
  </conditionalFormatting>
  <conditionalFormatting sqref="Q3">
    <cfRule type="cellIs" dxfId="58" priority="9" stopIfTrue="1" operator="between">
      <formula>0.9</formula>
      <formula>1</formula>
    </cfRule>
    <cfRule type="cellIs" dxfId="57" priority="10" stopIfTrue="1" operator="between">
      <formula>0.5</formula>
      <formula>0.89</formula>
    </cfRule>
    <cfRule type="cellIs" dxfId="56" priority="11" stopIfTrue="1" operator="between">
      <formula>0.2</formula>
      <formula>0.49</formula>
    </cfRule>
    <cfRule type="cellIs" dxfId="55" priority="12" stopIfTrue="1" operator="between">
      <formula>0</formula>
      <formula>0.19</formula>
    </cfRule>
  </conditionalFormatting>
  <conditionalFormatting sqref="Q4:Q34">
    <cfRule type="cellIs" dxfId="54" priority="1" stopIfTrue="1" operator="between">
      <formula>0.8</formula>
      <formula>1</formula>
    </cfRule>
    <cfRule type="cellIs" dxfId="53" priority="2" stopIfTrue="1" operator="between">
      <formula>0.5</formula>
      <formula>0.79</formula>
    </cfRule>
    <cfRule type="cellIs" dxfId="52" priority="3" stopIfTrue="1" operator="between">
      <formula>0.3</formula>
      <formula>0.49</formula>
    </cfRule>
    <cfRule type="cellIs" dxfId="51" priority="4" stopIfTrue="1" operator="between">
      <formula>0</formula>
      <formula>0.29</formula>
    </cfRule>
  </conditionalFormatting>
  <conditionalFormatting sqref="U4:U33">
    <cfRule type="containsText" dxfId="50" priority="17" operator="containsText" text="Incumple">
      <formula>NOT(ISERROR(SEARCH("Incumple",U4)))</formula>
    </cfRule>
    <cfRule type="containsText" dxfId="49" priority="18" operator="containsText" text="Cumple">
      <formula>NOT(ISERROR(SEARCH("Cumple",U4)))</formula>
    </cfRule>
  </conditionalFormatting>
  <conditionalFormatting sqref="U34">
    <cfRule type="cellIs" dxfId="48" priority="5" operator="between">
      <formula>0.19</formula>
      <formula>0</formula>
    </cfRule>
    <cfRule type="cellIs" dxfId="47" priority="6" operator="between">
      <formula>0.49</formula>
      <formula>0.2</formula>
    </cfRule>
    <cfRule type="cellIs" dxfId="46" priority="7" operator="between">
      <formula>0.89</formula>
      <formula>0.5</formula>
    </cfRule>
    <cfRule type="cellIs" dxfId="45" priority="8" operator="between">
      <formula>1</formula>
      <formula>0.9</formula>
    </cfRule>
  </conditionalFormatting>
  <dataValidations count="8">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4:H5" xr:uid="{00000000-0002-0000-0E00-00000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4:G5" xr:uid="{00000000-0002-0000-0E00-00000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4:E5" xr:uid="{00000000-0002-0000-0E00-000002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Y4:Y5" xr:uid="{00000000-0002-0000-0E00-000003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K4:K5" xr:uid="{00000000-0002-0000-0E00-000004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4:J26 J33" xr:uid="{00000000-0002-0000-0E00-000005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4:I26 I33" xr:uid="{00000000-0002-0000-0E00-000006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4:F5" xr:uid="{00000000-0002-0000-0E00-000007000000}">
      <formula1>0</formula1>
      <formula2>390</formula2>
    </dataValidation>
  </dataValidation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Y40"/>
  <sheetViews>
    <sheetView topLeftCell="F1" zoomScale="84" zoomScaleNormal="84" workbookViewId="0">
      <selection activeCell="N4" sqref="N4"/>
    </sheetView>
  </sheetViews>
  <sheetFormatPr baseColWidth="10" defaultColWidth="11.42578125" defaultRowHeight="14.25" x14ac:dyDescent="0.2"/>
  <cols>
    <col min="1" max="3" width="11.42578125" style="61"/>
    <col min="4" max="4" width="104.42578125" style="61" customWidth="1"/>
    <col min="5" max="7" width="25.140625" style="61" customWidth="1"/>
    <col min="8" max="8" width="17.140625" style="61" customWidth="1"/>
    <col min="9" max="9" width="11.42578125" style="61" customWidth="1"/>
    <col min="10" max="10" width="18.140625" style="98" customWidth="1"/>
    <col min="11" max="11" width="19.42578125" style="98" customWidth="1"/>
    <col min="12" max="12" width="18.85546875" style="61" customWidth="1"/>
    <col min="13" max="13" width="21.85546875" style="98" customWidth="1"/>
    <col min="14" max="17" width="11.42578125" style="61" customWidth="1"/>
    <col min="18" max="20" width="11.42578125" style="61" hidden="1" customWidth="1"/>
    <col min="21" max="21" width="14" style="61" customWidth="1"/>
    <col min="22" max="22" width="101.5703125" style="61" customWidth="1"/>
    <col min="23" max="23" width="132.140625" style="61" customWidth="1"/>
    <col min="24" max="24" width="46.7109375" style="61" hidden="1" customWidth="1"/>
    <col min="25" max="25" width="13.5703125" style="61" customWidth="1"/>
    <col min="26" max="27" width="11.42578125" style="61" customWidth="1"/>
    <col min="28" max="16384" width="11.42578125" style="61"/>
  </cols>
  <sheetData>
    <row r="1" spans="1:25" ht="15" thickBot="1" x14ac:dyDescent="0.25">
      <c r="A1" s="1129" t="s">
        <v>2483</v>
      </c>
      <c r="B1" s="1129"/>
      <c r="C1" s="1129"/>
      <c r="D1" s="1129"/>
      <c r="E1" s="1129"/>
      <c r="F1" s="1129"/>
      <c r="G1" s="1129"/>
      <c r="H1" s="1129"/>
      <c r="I1" s="1129"/>
      <c r="J1" s="1129"/>
      <c r="K1" s="1129"/>
      <c r="L1" s="1129"/>
      <c r="M1" s="1129"/>
      <c r="N1" s="1129"/>
      <c r="O1" s="1129"/>
      <c r="P1" s="1129"/>
      <c r="Q1" s="1129"/>
      <c r="R1" s="1129"/>
      <c r="S1" s="1129"/>
      <c r="T1" s="1129"/>
      <c r="U1" s="1129"/>
      <c r="V1" s="1129"/>
      <c r="W1" s="1129"/>
      <c r="X1" s="1129"/>
      <c r="Y1" s="1129"/>
    </row>
    <row r="2" spans="1:25" ht="15" thickBot="1" x14ac:dyDescent="0.25">
      <c r="A2" s="1129"/>
      <c r="B2" s="1129"/>
      <c r="C2" s="1129"/>
      <c r="D2" s="1129"/>
      <c r="E2" s="1129"/>
      <c r="F2" s="1129"/>
      <c r="G2" s="1129"/>
      <c r="H2" s="1129"/>
      <c r="I2" s="1129"/>
      <c r="J2" s="1129"/>
      <c r="K2" s="1129"/>
      <c r="L2" s="1129"/>
      <c r="M2" s="1129"/>
      <c r="N2" s="1129"/>
      <c r="O2" s="1129"/>
      <c r="P2" s="1129"/>
      <c r="Q2" s="1129"/>
      <c r="R2" s="1129"/>
      <c r="S2" s="1129"/>
      <c r="T2" s="1129"/>
      <c r="U2" s="1129"/>
      <c r="V2" s="1129"/>
      <c r="W2" s="1129"/>
      <c r="X2" s="1129"/>
      <c r="Y2" s="1129"/>
    </row>
    <row r="3" spans="1:25" ht="120.75" thickBot="1" x14ac:dyDescent="0.25">
      <c r="A3" s="114"/>
      <c r="B3" s="115" t="s">
        <v>2141</v>
      </c>
      <c r="C3" s="115"/>
      <c r="D3" s="115" t="s">
        <v>2142</v>
      </c>
      <c r="E3" s="115" t="s">
        <v>2143</v>
      </c>
      <c r="F3" s="115" t="s">
        <v>2144</v>
      </c>
      <c r="G3" s="115" t="s">
        <v>27</v>
      </c>
      <c r="H3" s="115" t="s">
        <v>2145</v>
      </c>
      <c r="I3" s="115" t="s">
        <v>2146</v>
      </c>
      <c r="J3" s="116" t="s">
        <v>34</v>
      </c>
      <c r="K3" s="116" t="s">
        <v>35</v>
      </c>
      <c r="L3" s="115" t="s">
        <v>36</v>
      </c>
      <c r="M3" s="116" t="s">
        <v>37</v>
      </c>
      <c r="N3" s="115" t="s">
        <v>2147</v>
      </c>
      <c r="O3" s="115" t="s">
        <v>2148</v>
      </c>
      <c r="P3" s="115" t="s">
        <v>41</v>
      </c>
      <c r="Q3" s="115" t="s">
        <v>42</v>
      </c>
      <c r="R3" s="115" t="s">
        <v>2149</v>
      </c>
      <c r="S3" s="117" t="s">
        <v>2150</v>
      </c>
      <c r="T3" s="117" t="s">
        <v>2151</v>
      </c>
      <c r="U3" s="117" t="s">
        <v>44</v>
      </c>
      <c r="V3" s="117" t="s">
        <v>2152</v>
      </c>
      <c r="W3" s="117" t="s">
        <v>2153</v>
      </c>
      <c r="X3" s="117" t="s">
        <v>21</v>
      </c>
      <c r="Y3" s="117" t="s">
        <v>2154</v>
      </c>
    </row>
    <row r="4" spans="1:25" s="462" customFormat="1" ht="197.25" customHeight="1" thickBot="1" x14ac:dyDescent="0.25">
      <c r="A4" s="143">
        <v>1</v>
      </c>
      <c r="B4" s="270" t="s">
        <v>0</v>
      </c>
      <c r="C4" s="270" t="s">
        <v>2484</v>
      </c>
      <c r="D4" s="143" t="s">
        <v>2485</v>
      </c>
      <c r="E4" s="143" t="s">
        <v>2486</v>
      </c>
      <c r="F4" s="143" t="s">
        <v>2487</v>
      </c>
      <c r="G4" s="143" t="s">
        <v>2488</v>
      </c>
      <c r="H4" s="143" t="s">
        <v>2489</v>
      </c>
      <c r="I4" s="143">
        <v>1</v>
      </c>
      <c r="J4" s="356" t="s">
        <v>2490</v>
      </c>
      <c r="K4" s="356">
        <v>44784</v>
      </c>
      <c r="L4" s="477">
        <f t="shared" ref="L4:L39" si="0">(K4-J4)/7</f>
        <v>4.4285714285714288</v>
      </c>
      <c r="M4" s="356">
        <v>44893</v>
      </c>
      <c r="N4" s="467">
        <f>(M4-K4)/7</f>
        <v>15.571428571428571</v>
      </c>
      <c r="O4" s="457" t="str">
        <f ca="1">IF((K4-TODAY())/7&gt;=L4/4,"En tiempo","Alerta")</f>
        <v>Alerta</v>
      </c>
      <c r="P4" s="143">
        <v>1</v>
      </c>
      <c r="Q4" s="363">
        <f>IF(P4/I4=1,1,+P4/I4)</f>
        <v>1</v>
      </c>
      <c r="R4" s="272"/>
      <c r="S4" s="272"/>
      <c r="T4" s="272"/>
      <c r="U4" s="460" t="str">
        <f>IF(M4&lt;=K4,"Cumple","Incumple")</f>
        <v>Incumple</v>
      </c>
      <c r="V4" s="143" t="s">
        <v>2491</v>
      </c>
      <c r="W4" s="143" t="s">
        <v>2492</v>
      </c>
      <c r="X4" s="272"/>
      <c r="Y4" s="272" t="s">
        <v>2493</v>
      </c>
    </row>
    <row r="5" spans="1:25" s="462" customFormat="1" ht="149.44999999999999" customHeight="1" thickBot="1" x14ac:dyDescent="0.25">
      <c r="A5" s="143">
        <v>1</v>
      </c>
      <c r="B5" s="270" t="s">
        <v>2155</v>
      </c>
      <c r="C5" s="270" t="s">
        <v>2484</v>
      </c>
      <c r="D5" s="143" t="s">
        <v>2494</v>
      </c>
      <c r="E5" s="143" t="s">
        <v>2486</v>
      </c>
      <c r="F5" s="143" t="s">
        <v>2487</v>
      </c>
      <c r="G5" s="143" t="s">
        <v>2495</v>
      </c>
      <c r="H5" s="143" t="s">
        <v>2496</v>
      </c>
      <c r="I5" s="143">
        <v>100</v>
      </c>
      <c r="J5" s="356" t="s">
        <v>2490</v>
      </c>
      <c r="K5" s="356">
        <v>44834</v>
      </c>
      <c r="L5" s="477">
        <f t="shared" si="0"/>
        <v>11.571428571428571</v>
      </c>
      <c r="M5" s="466">
        <v>44893</v>
      </c>
      <c r="N5" s="467">
        <f>(M5-K5)/7</f>
        <v>8.4285714285714288</v>
      </c>
      <c r="O5" s="457" t="str">
        <f ca="1">IF((K5-TODAY())/7&gt;=L5/4,"En tiempo","Alerta")</f>
        <v>Alerta</v>
      </c>
      <c r="P5" s="143">
        <v>100</v>
      </c>
      <c r="Q5" s="363">
        <f>IF(P5/I5=1,1,+P5/I5)</f>
        <v>1</v>
      </c>
      <c r="R5" s="272"/>
      <c r="S5" s="272"/>
      <c r="T5" s="272"/>
      <c r="U5" s="460" t="str">
        <f>IF(M5&lt;=K5,"Cumple","Incumple")</f>
        <v>Incumple</v>
      </c>
      <c r="V5" s="143" t="s">
        <v>2497</v>
      </c>
      <c r="W5" s="143" t="s">
        <v>2498</v>
      </c>
      <c r="X5" s="272"/>
      <c r="Y5" s="272" t="s">
        <v>2499</v>
      </c>
    </row>
    <row r="6" spans="1:25" s="462" customFormat="1" ht="131.44999999999999" customHeight="1" thickBot="1" x14ac:dyDescent="0.25">
      <c r="A6" s="143">
        <v>1</v>
      </c>
      <c r="B6" s="270" t="s">
        <v>2155</v>
      </c>
      <c r="C6" s="270" t="s">
        <v>2484</v>
      </c>
      <c r="D6" s="143" t="s">
        <v>2494</v>
      </c>
      <c r="E6" s="143" t="s">
        <v>2486</v>
      </c>
      <c r="F6" s="143" t="s">
        <v>2487</v>
      </c>
      <c r="G6" s="143" t="s">
        <v>2500</v>
      </c>
      <c r="H6" s="143" t="s">
        <v>2501</v>
      </c>
      <c r="I6" s="143">
        <v>100</v>
      </c>
      <c r="J6" s="356" t="s">
        <v>2490</v>
      </c>
      <c r="K6" s="356">
        <v>44849</v>
      </c>
      <c r="L6" s="477">
        <f t="shared" si="0"/>
        <v>13.714285714285714</v>
      </c>
      <c r="M6" s="466">
        <v>44893</v>
      </c>
      <c r="N6" s="467">
        <f t="shared" ref="N6:N38" si="1">(M6-K6)/7</f>
        <v>6.2857142857142856</v>
      </c>
      <c r="O6" s="457" t="str">
        <f t="shared" ref="O6:O38" ca="1" si="2">IF((K6-TODAY())/7&gt;=L6/4,"En tiempo","Alerta")</f>
        <v>Alerta</v>
      </c>
      <c r="P6" s="143">
        <v>100</v>
      </c>
      <c r="Q6" s="363">
        <f t="shared" ref="Q6:Q35" si="3">IF(P6/I6=1,1,+P6/I6)</f>
        <v>1</v>
      </c>
      <c r="R6" s="272"/>
      <c r="S6" s="272"/>
      <c r="T6" s="272"/>
      <c r="U6" s="460" t="str">
        <f t="shared" ref="U6:U38" si="4">IF(M6&lt;=K6,"Cumple","Incumple")</f>
        <v>Incumple</v>
      </c>
      <c r="V6" s="143" t="s">
        <v>2497</v>
      </c>
      <c r="W6" s="143" t="s">
        <v>2498</v>
      </c>
      <c r="X6" s="272"/>
      <c r="Y6" s="272" t="s">
        <v>2502</v>
      </c>
    </row>
    <row r="7" spans="1:25" s="462" customFormat="1" ht="181.5" customHeight="1" thickBot="1" x14ac:dyDescent="0.25">
      <c r="A7" s="143">
        <v>1</v>
      </c>
      <c r="B7" s="270" t="s">
        <v>2155</v>
      </c>
      <c r="C7" s="270" t="s">
        <v>2484</v>
      </c>
      <c r="D7" s="143" t="s">
        <v>2494</v>
      </c>
      <c r="E7" s="143" t="s">
        <v>2486</v>
      </c>
      <c r="F7" s="143" t="s">
        <v>2487</v>
      </c>
      <c r="G7" s="143" t="s">
        <v>2503</v>
      </c>
      <c r="H7" s="143" t="s">
        <v>2504</v>
      </c>
      <c r="I7" s="143">
        <v>2</v>
      </c>
      <c r="J7" s="356" t="s">
        <v>2490</v>
      </c>
      <c r="K7" s="356">
        <v>45114</v>
      </c>
      <c r="L7" s="477">
        <f t="shared" si="0"/>
        <v>51.571428571428569</v>
      </c>
      <c r="M7" s="466">
        <v>45224</v>
      </c>
      <c r="N7" s="467">
        <f t="shared" si="1"/>
        <v>15.714285714285714</v>
      </c>
      <c r="O7" s="457" t="str">
        <f t="shared" ca="1" si="2"/>
        <v>Alerta</v>
      </c>
      <c r="P7" s="143">
        <v>2</v>
      </c>
      <c r="Q7" s="363">
        <f t="shared" si="3"/>
        <v>1</v>
      </c>
      <c r="R7" s="272"/>
      <c r="S7" s="272"/>
      <c r="T7" s="272"/>
      <c r="U7" s="460" t="str">
        <f t="shared" si="4"/>
        <v>Incumple</v>
      </c>
      <c r="V7" s="143" t="s">
        <v>2505</v>
      </c>
      <c r="W7" s="274" t="s">
        <v>2506</v>
      </c>
      <c r="X7" s="272"/>
      <c r="Y7" s="272" t="s">
        <v>2499</v>
      </c>
    </row>
    <row r="8" spans="1:25" s="462" customFormat="1" ht="246" customHeight="1" thickBot="1" x14ac:dyDescent="0.25">
      <c r="A8" s="143">
        <v>1</v>
      </c>
      <c r="B8" s="270" t="s">
        <v>2155</v>
      </c>
      <c r="C8" s="270" t="s">
        <v>2484</v>
      </c>
      <c r="D8" s="143" t="s">
        <v>2507</v>
      </c>
      <c r="E8" s="143" t="s">
        <v>2508</v>
      </c>
      <c r="F8" s="143" t="s">
        <v>2509</v>
      </c>
      <c r="G8" s="143" t="s">
        <v>2510</v>
      </c>
      <c r="H8" s="143" t="s">
        <v>2511</v>
      </c>
      <c r="I8" s="143">
        <v>100</v>
      </c>
      <c r="J8" s="356" t="s">
        <v>2512</v>
      </c>
      <c r="K8" s="356">
        <v>45118</v>
      </c>
      <c r="L8" s="477">
        <f t="shared" si="0"/>
        <v>35.142857142857146</v>
      </c>
      <c r="M8" s="466">
        <v>45107</v>
      </c>
      <c r="N8" s="467">
        <f t="shared" si="1"/>
        <v>-1.5714285714285714</v>
      </c>
      <c r="O8" s="457" t="str">
        <f t="shared" ca="1" si="2"/>
        <v>Alerta</v>
      </c>
      <c r="P8" s="143">
        <v>100</v>
      </c>
      <c r="Q8" s="363">
        <f t="shared" si="3"/>
        <v>1</v>
      </c>
      <c r="R8" s="272"/>
      <c r="S8" s="272"/>
      <c r="T8" s="272"/>
      <c r="U8" s="460" t="str">
        <f t="shared" si="4"/>
        <v>Cumple</v>
      </c>
      <c r="V8" s="143" t="s">
        <v>2513</v>
      </c>
      <c r="W8" s="143" t="s">
        <v>2514</v>
      </c>
      <c r="X8" s="272"/>
      <c r="Y8" s="272" t="s">
        <v>2515</v>
      </c>
    </row>
    <row r="9" spans="1:25" s="462" customFormat="1" ht="320.25" customHeight="1" thickBot="1" x14ac:dyDescent="0.25">
      <c r="A9" s="143">
        <v>2</v>
      </c>
      <c r="B9" s="270" t="s">
        <v>2155</v>
      </c>
      <c r="C9" s="270" t="s">
        <v>2484</v>
      </c>
      <c r="D9" s="143" t="s">
        <v>2516</v>
      </c>
      <c r="E9" s="143" t="s">
        <v>2517</v>
      </c>
      <c r="F9" s="143" t="s">
        <v>2518</v>
      </c>
      <c r="G9" s="143" t="s">
        <v>2519</v>
      </c>
      <c r="H9" s="143" t="s">
        <v>2520</v>
      </c>
      <c r="I9" s="143">
        <v>1</v>
      </c>
      <c r="J9" s="356" t="s">
        <v>2490</v>
      </c>
      <c r="K9" s="356">
        <v>45114</v>
      </c>
      <c r="L9" s="477">
        <f t="shared" si="0"/>
        <v>51.571428571428569</v>
      </c>
      <c r="M9" s="466">
        <v>45247</v>
      </c>
      <c r="N9" s="467">
        <f t="shared" si="1"/>
        <v>19</v>
      </c>
      <c r="O9" s="457" t="str">
        <f t="shared" ca="1" si="2"/>
        <v>Alerta</v>
      </c>
      <c r="P9" s="143">
        <v>1</v>
      </c>
      <c r="Q9" s="363">
        <f t="shared" ref="Q9" si="5">IF(P9/I9=1,1,+P9/I9)</f>
        <v>1</v>
      </c>
      <c r="R9" s="272"/>
      <c r="S9" s="272"/>
      <c r="T9" s="272"/>
      <c r="U9" s="460" t="str">
        <f t="shared" si="4"/>
        <v>Incumple</v>
      </c>
      <c r="V9" s="225" t="s">
        <v>2521</v>
      </c>
      <c r="W9" s="143" t="s">
        <v>2522</v>
      </c>
      <c r="X9" s="272"/>
      <c r="Y9" s="272"/>
    </row>
    <row r="10" spans="1:25" s="462" customFormat="1" ht="265.5" customHeight="1" thickBot="1" x14ac:dyDescent="0.25">
      <c r="A10" s="143">
        <v>2</v>
      </c>
      <c r="B10" s="270" t="s">
        <v>2155</v>
      </c>
      <c r="C10" s="270" t="s">
        <v>2484</v>
      </c>
      <c r="D10" s="143" t="s">
        <v>2516</v>
      </c>
      <c r="E10" s="143" t="s">
        <v>2517</v>
      </c>
      <c r="F10" s="143" t="s">
        <v>2518</v>
      </c>
      <c r="G10" s="143" t="s">
        <v>2523</v>
      </c>
      <c r="H10" s="143" t="s">
        <v>2520</v>
      </c>
      <c r="I10" s="143">
        <v>1</v>
      </c>
      <c r="J10" s="356" t="s">
        <v>2490</v>
      </c>
      <c r="K10" s="356">
        <v>45114</v>
      </c>
      <c r="L10" s="477">
        <f t="shared" si="0"/>
        <v>51.571428571428569</v>
      </c>
      <c r="M10" s="466">
        <v>45491</v>
      </c>
      <c r="N10" s="467">
        <f t="shared" si="1"/>
        <v>53.857142857142854</v>
      </c>
      <c r="O10" s="457" t="str">
        <f t="shared" ca="1" si="2"/>
        <v>Alerta</v>
      </c>
      <c r="P10" s="143">
        <v>1</v>
      </c>
      <c r="Q10" s="363">
        <f>IF(P10/I10=1,1,+P10/I10)</f>
        <v>1</v>
      </c>
      <c r="R10" s="272"/>
      <c r="S10" s="272"/>
      <c r="T10" s="272"/>
      <c r="U10" s="460" t="str">
        <f>IF(M10&lt;=K10,"Cumple","Incumple")</f>
        <v>Incumple</v>
      </c>
      <c r="V10" s="225" t="s">
        <v>2524</v>
      </c>
      <c r="W10" s="225" t="s">
        <v>2525</v>
      </c>
      <c r="X10" s="272"/>
      <c r="Y10" s="272" t="s">
        <v>2526</v>
      </c>
    </row>
    <row r="11" spans="1:25" s="462" customFormat="1" ht="141" customHeight="1" thickBot="1" x14ac:dyDescent="0.25">
      <c r="A11" s="143">
        <v>2</v>
      </c>
      <c r="B11" s="270" t="s">
        <v>2155</v>
      </c>
      <c r="C11" s="270" t="s">
        <v>2484</v>
      </c>
      <c r="D11" s="143" t="s">
        <v>2516</v>
      </c>
      <c r="E11" s="143" t="s">
        <v>2517</v>
      </c>
      <c r="F11" s="143" t="s">
        <v>2518</v>
      </c>
      <c r="G11" s="143" t="s">
        <v>2527</v>
      </c>
      <c r="H11" s="143" t="s">
        <v>2520</v>
      </c>
      <c r="I11" s="143">
        <v>1</v>
      </c>
      <c r="J11" s="356" t="s">
        <v>2490</v>
      </c>
      <c r="K11" s="356">
        <v>45114</v>
      </c>
      <c r="L11" s="477">
        <f t="shared" si="0"/>
        <v>51.571428571428569</v>
      </c>
      <c r="M11" s="466">
        <v>45247</v>
      </c>
      <c r="N11" s="467">
        <f t="shared" si="1"/>
        <v>19</v>
      </c>
      <c r="O11" s="457" t="str">
        <f t="shared" ca="1" si="2"/>
        <v>Alerta</v>
      </c>
      <c r="P11" s="355">
        <v>1</v>
      </c>
      <c r="Q11" s="363">
        <f>IF(P11/I11=1,1,+P11/I11)</f>
        <v>1</v>
      </c>
      <c r="R11" s="272"/>
      <c r="S11" s="272"/>
      <c r="T11" s="272"/>
      <c r="U11" s="460" t="str">
        <f t="shared" si="4"/>
        <v>Incumple</v>
      </c>
      <c r="V11" s="143" t="s">
        <v>2528</v>
      </c>
      <c r="W11" s="225" t="s">
        <v>2529</v>
      </c>
      <c r="X11" s="272"/>
      <c r="Y11" s="272" t="s">
        <v>2530</v>
      </c>
    </row>
    <row r="12" spans="1:25" s="462" customFormat="1" ht="243" customHeight="1" thickBot="1" x14ac:dyDescent="0.25">
      <c r="A12" s="143">
        <v>3</v>
      </c>
      <c r="B12" s="270" t="s">
        <v>2155</v>
      </c>
      <c r="C12" s="270" t="s">
        <v>2484</v>
      </c>
      <c r="D12" s="143" t="s">
        <v>2531</v>
      </c>
      <c r="E12" s="143" t="s">
        <v>2532</v>
      </c>
      <c r="F12" s="143" t="s">
        <v>2533</v>
      </c>
      <c r="G12" s="143" t="s">
        <v>2534</v>
      </c>
      <c r="H12" s="143" t="s">
        <v>2535</v>
      </c>
      <c r="I12" s="143">
        <v>2</v>
      </c>
      <c r="J12" s="356" t="s">
        <v>2490</v>
      </c>
      <c r="K12" s="356">
        <v>44992</v>
      </c>
      <c r="L12" s="477">
        <f t="shared" si="0"/>
        <v>34.142857142857146</v>
      </c>
      <c r="M12" s="466">
        <v>45275</v>
      </c>
      <c r="N12" s="467">
        <f t="shared" si="1"/>
        <v>40.428571428571431</v>
      </c>
      <c r="O12" s="457" t="str">
        <f t="shared" ca="1" si="2"/>
        <v>Alerta</v>
      </c>
      <c r="P12" s="143">
        <v>2</v>
      </c>
      <c r="Q12" s="363">
        <f t="shared" si="3"/>
        <v>1</v>
      </c>
      <c r="R12" s="272"/>
      <c r="S12" s="272"/>
      <c r="T12" s="272"/>
      <c r="U12" s="460" t="str">
        <f t="shared" si="4"/>
        <v>Incumple</v>
      </c>
      <c r="V12" s="225" t="s">
        <v>2536</v>
      </c>
      <c r="W12" s="225" t="s">
        <v>2537</v>
      </c>
      <c r="X12" s="272" t="s">
        <v>2538</v>
      </c>
      <c r="Y12" s="272" t="s">
        <v>2539</v>
      </c>
    </row>
    <row r="13" spans="1:25" s="462" customFormat="1" ht="326.25" customHeight="1" thickBot="1" x14ac:dyDescent="0.25">
      <c r="A13" s="143">
        <v>3</v>
      </c>
      <c r="B13" s="270" t="s">
        <v>2155</v>
      </c>
      <c r="C13" s="270" t="s">
        <v>2484</v>
      </c>
      <c r="D13" s="143" t="s">
        <v>2540</v>
      </c>
      <c r="E13" s="143" t="s">
        <v>2532</v>
      </c>
      <c r="F13" s="143" t="s">
        <v>2533</v>
      </c>
      <c r="G13" s="143" t="s">
        <v>2541</v>
      </c>
      <c r="H13" s="143" t="s">
        <v>2542</v>
      </c>
      <c r="I13" s="143">
        <v>2</v>
      </c>
      <c r="J13" s="356" t="s">
        <v>2490</v>
      </c>
      <c r="K13" s="356">
        <v>44992</v>
      </c>
      <c r="L13" s="477">
        <f t="shared" si="0"/>
        <v>34.142857142857146</v>
      </c>
      <c r="M13" s="466">
        <v>45107</v>
      </c>
      <c r="N13" s="467">
        <f t="shared" si="1"/>
        <v>16.428571428571427</v>
      </c>
      <c r="O13" s="457" t="str">
        <f t="shared" ca="1" si="2"/>
        <v>Alerta</v>
      </c>
      <c r="P13" s="143">
        <v>2</v>
      </c>
      <c r="Q13" s="363">
        <f>IF(P13/I13=1,1,+P13/I13)</f>
        <v>1</v>
      </c>
      <c r="R13" s="272"/>
      <c r="S13" s="272"/>
      <c r="T13" s="272"/>
      <c r="U13" s="460" t="str">
        <f>IF(M13&lt;=K13,"Cumple","Incumple")</f>
        <v>Incumple</v>
      </c>
      <c r="V13" s="143" t="s">
        <v>2543</v>
      </c>
      <c r="W13" s="143" t="s">
        <v>2544</v>
      </c>
      <c r="X13" s="272"/>
      <c r="Y13" s="272" t="s">
        <v>2545</v>
      </c>
    </row>
    <row r="14" spans="1:25" s="462" customFormat="1" ht="409.5" customHeight="1" thickBot="1" x14ac:dyDescent="0.25">
      <c r="A14" s="143">
        <v>4</v>
      </c>
      <c r="B14" s="270" t="s">
        <v>2155</v>
      </c>
      <c r="C14" s="270" t="s">
        <v>2484</v>
      </c>
      <c r="D14" s="143" t="s">
        <v>2546</v>
      </c>
      <c r="E14" s="143" t="s">
        <v>2547</v>
      </c>
      <c r="F14" s="143" t="s">
        <v>2548</v>
      </c>
      <c r="G14" s="143" t="s">
        <v>2549</v>
      </c>
      <c r="H14" s="143" t="s">
        <v>2550</v>
      </c>
      <c r="I14" s="143">
        <v>100</v>
      </c>
      <c r="J14" s="356" t="s">
        <v>2490</v>
      </c>
      <c r="K14" s="140">
        <v>45961</v>
      </c>
      <c r="L14" s="831">
        <f t="shared" si="0"/>
        <v>172.57142857142858</v>
      </c>
      <c r="M14" s="817">
        <v>45657</v>
      </c>
      <c r="N14" s="467">
        <f t="shared" si="1"/>
        <v>-43.428571428571431</v>
      </c>
      <c r="O14" s="457" t="str">
        <f t="shared" ca="1" si="2"/>
        <v>Alerta</v>
      </c>
      <c r="P14" s="143">
        <v>73</v>
      </c>
      <c r="Q14" s="363">
        <f>IF(P14/I14=1,1,+P14/I14)</f>
        <v>0.73</v>
      </c>
      <c r="R14" s="272"/>
      <c r="S14" s="272"/>
      <c r="T14" s="272"/>
      <c r="U14" s="460" t="str">
        <f>IF(M14&lt;=K14,"Cumple","Incumple")</f>
        <v>Cumple</v>
      </c>
      <c r="V14" s="139" t="s">
        <v>3248</v>
      </c>
      <c r="W14" s="139" t="s">
        <v>3249</v>
      </c>
      <c r="X14" s="272"/>
      <c r="Y14" s="272" t="s">
        <v>2530</v>
      </c>
    </row>
    <row r="15" spans="1:25" s="462" customFormat="1" ht="190.5" customHeight="1" thickBot="1" x14ac:dyDescent="0.25">
      <c r="A15" s="143">
        <v>4</v>
      </c>
      <c r="B15" s="270" t="s">
        <v>2155</v>
      </c>
      <c r="C15" s="270" t="s">
        <v>2484</v>
      </c>
      <c r="D15" s="143" t="s">
        <v>2546</v>
      </c>
      <c r="E15" s="143" t="s">
        <v>2547</v>
      </c>
      <c r="F15" s="143" t="s">
        <v>2548</v>
      </c>
      <c r="G15" s="143" t="s">
        <v>2551</v>
      </c>
      <c r="H15" s="143" t="s">
        <v>2552</v>
      </c>
      <c r="I15" s="143">
        <v>1</v>
      </c>
      <c r="J15" s="356" t="s">
        <v>2490</v>
      </c>
      <c r="K15" s="356">
        <v>45114</v>
      </c>
      <c r="L15" s="477">
        <f t="shared" si="0"/>
        <v>51.571428571428569</v>
      </c>
      <c r="M15" s="466">
        <v>45247</v>
      </c>
      <c r="N15" s="467">
        <f t="shared" si="1"/>
        <v>19</v>
      </c>
      <c r="O15" s="457" t="str">
        <f t="shared" ca="1" si="2"/>
        <v>Alerta</v>
      </c>
      <c r="P15" s="355">
        <v>1</v>
      </c>
      <c r="Q15" s="363">
        <f t="shared" si="3"/>
        <v>1</v>
      </c>
      <c r="R15" s="272"/>
      <c r="S15" s="272"/>
      <c r="T15" s="272"/>
      <c r="U15" s="460" t="str">
        <f>IF(M15&lt;=K15,"Cumple","Incumple")</f>
        <v>Incumple</v>
      </c>
      <c r="V15" s="143" t="s">
        <v>2553</v>
      </c>
      <c r="W15" s="143" t="s">
        <v>2554</v>
      </c>
      <c r="X15" s="272"/>
      <c r="Y15" s="272" t="s">
        <v>2530</v>
      </c>
    </row>
    <row r="16" spans="1:25" s="462" customFormat="1" ht="183" customHeight="1" thickBot="1" x14ac:dyDescent="0.25">
      <c r="A16" s="143">
        <v>5</v>
      </c>
      <c r="B16" s="270" t="s">
        <v>2155</v>
      </c>
      <c r="C16" s="270" t="s">
        <v>2484</v>
      </c>
      <c r="D16" s="143" t="s">
        <v>2555</v>
      </c>
      <c r="E16" s="143" t="s">
        <v>2556</v>
      </c>
      <c r="F16" s="143" t="s">
        <v>2557</v>
      </c>
      <c r="G16" s="143" t="s">
        <v>2558</v>
      </c>
      <c r="H16" s="143" t="s">
        <v>2559</v>
      </c>
      <c r="I16" s="143">
        <v>1</v>
      </c>
      <c r="J16" s="356" t="s">
        <v>2490</v>
      </c>
      <c r="K16" s="356">
        <v>44895</v>
      </c>
      <c r="L16" s="477">
        <f t="shared" si="0"/>
        <v>20.285714285714285</v>
      </c>
      <c r="M16" s="466">
        <v>45247</v>
      </c>
      <c r="N16" s="467">
        <f t="shared" si="1"/>
        <v>50.285714285714285</v>
      </c>
      <c r="O16" s="457" t="str">
        <f t="shared" ca="1" si="2"/>
        <v>Alerta</v>
      </c>
      <c r="P16" s="143">
        <v>1</v>
      </c>
      <c r="Q16" s="363">
        <f t="shared" si="3"/>
        <v>1</v>
      </c>
      <c r="R16" s="272"/>
      <c r="S16" s="272"/>
      <c r="T16" s="272"/>
      <c r="U16" s="460" t="str">
        <f>IF(M16&lt;=K16,"Cumple","Incumple")</f>
        <v>Incumple</v>
      </c>
      <c r="V16" s="143" t="s">
        <v>2560</v>
      </c>
      <c r="W16" s="143" t="s">
        <v>2561</v>
      </c>
      <c r="X16" s="272"/>
      <c r="Y16" s="272" t="s">
        <v>2530</v>
      </c>
    </row>
    <row r="17" spans="1:25" s="462" customFormat="1" ht="330.75" customHeight="1" thickBot="1" x14ac:dyDescent="0.25">
      <c r="A17" s="143">
        <v>6</v>
      </c>
      <c r="B17" s="270" t="s">
        <v>2155</v>
      </c>
      <c r="C17" s="270" t="s">
        <v>2484</v>
      </c>
      <c r="D17" s="143" t="s">
        <v>2562</v>
      </c>
      <c r="E17" s="143" t="s">
        <v>2563</v>
      </c>
      <c r="F17" s="143" t="s">
        <v>2564</v>
      </c>
      <c r="G17" s="143" t="s">
        <v>2565</v>
      </c>
      <c r="H17" s="143" t="s">
        <v>2566</v>
      </c>
      <c r="I17" s="143">
        <v>1</v>
      </c>
      <c r="J17" s="356" t="s">
        <v>2490</v>
      </c>
      <c r="K17" s="356">
        <v>44895</v>
      </c>
      <c r="L17" s="477">
        <f t="shared" si="0"/>
        <v>20.285714285714285</v>
      </c>
      <c r="M17" s="466">
        <v>45107</v>
      </c>
      <c r="N17" s="467">
        <f t="shared" si="1"/>
        <v>30.285714285714285</v>
      </c>
      <c r="O17" s="457" t="str">
        <f t="shared" ca="1" si="2"/>
        <v>Alerta</v>
      </c>
      <c r="P17" s="143">
        <v>1</v>
      </c>
      <c r="Q17" s="363">
        <f>IF(P17/I17=1,1,+P17/I17)</f>
        <v>1</v>
      </c>
      <c r="R17" s="272"/>
      <c r="S17" s="272"/>
      <c r="T17" s="272"/>
      <c r="U17" s="460" t="str">
        <f t="shared" si="4"/>
        <v>Incumple</v>
      </c>
      <c r="V17" s="143" t="s">
        <v>2567</v>
      </c>
      <c r="W17" s="143" t="s">
        <v>2568</v>
      </c>
      <c r="X17" s="272"/>
      <c r="Y17" s="272" t="s">
        <v>2569</v>
      </c>
    </row>
    <row r="18" spans="1:25" s="462" customFormat="1" ht="265.5" customHeight="1" thickBot="1" x14ac:dyDescent="0.25">
      <c r="A18" s="143">
        <v>6</v>
      </c>
      <c r="B18" s="270" t="s">
        <v>2155</v>
      </c>
      <c r="C18" s="270" t="s">
        <v>2484</v>
      </c>
      <c r="D18" s="143" t="s">
        <v>2570</v>
      </c>
      <c r="E18" s="143" t="s">
        <v>2563</v>
      </c>
      <c r="F18" s="143" t="s">
        <v>2564</v>
      </c>
      <c r="G18" s="143" t="s">
        <v>2571</v>
      </c>
      <c r="H18" s="143" t="s">
        <v>2572</v>
      </c>
      <c r="I18" s="143">
        <v>1</v>
      </c>
      <c r="J18" s="356" t="s">
        <v>2490</v>
      </c>
      <c r="K18" s="356">
        <v>44895</v>
      </c>
      <c r="L18" s="477">
        <f t="shared" si="0"/>
        <v>20.285714285714285</v>
      </c>
      <c r="M18" s="356">
        <v>44893</v>
      </c>
      <c r="N18" s="467">
        <f t="shared" si="1"/>
        <v>-0.2857142857142857</v>
      </c>
      <c r="O18" s="457" t="str">
        <f t="shared" ca="1" si="2"/>
        <v>Alerta</v>
      </c>
      <c r="P18" s="143">
        <v>1</v>
      </c>
      <c r="Q18" s="363">
        <f t="shared" si="3"/>
        <v>1</v>
      </c>
      <c r="R18" s="272"/>
      <c r="S18" s="272"/>
      <c r="T18" s="272"/>
      <c r="U18" s="460" t="str">
        <f>IF(M18&lt;=K18,"Cumple","Incumple")</f>
        <v>Cumple</v>
      </c>
      <c r="V18" s="143" t="s">
        <v>2573</v>
      </c>
      <c r="W18" s="143" t="s">
        <v>2574</v>
      </c>
      <c r="X18" s="272"/>
      <c r="Y18" s="272" t="s">
        <v>2569</v>
      </c>
    </row>
    <row r="19" spans="1:25" s="462" customFormat="1" ht="164.45" customHeight="1" thickBot="1" x14ac:dyDescent="0.25">
      <c r="A19" s="143">
        <v>6</v>
      </c>
      <c r="B19" s="270" t="s">
        <v>2155</v>
      </c>
      <c r="C19" s="270" t="s">
        <v>2484</v>
      </c>
      <c r="D19" s="143" t="s">
        <v>2575</v>
      </c>
      <c r="E19" s="143" t="s">
        <v>2576</v>
      </c>
      <c r="F19" s="143" t="s">
        <v>2577</v>
      </c>
      <c r="G19" s="143" t="s">
        <v>2578</v>
      </c>
      <c r="H19" s="143" t="s">
        <v>2579</v>
      </c>
      <c r="I19" s="143">
        <v>1</v>
      </c>
      <c r="J19" s="356" t="s">
        <v>2490</v>
      </c>
      <c r="K19" s="356">
        <v>44895</v>
      </c>
      <c r="L19" s="477">
        <f t="shared" si="0"/>
        <v>20.285714285714285</v>
      </c>
      <c r="M19" s="356">
        <v>44923</v>
      </c>
      <c r="N19" s="467">
        <f t="shared" si="1"/>
        <v>4</v>
      </c>
      <c r="O19" s="457" t="str">
        <f t="shared" ca="1" si="2"/>
        <v>Alerta</v>
      </c>
      <c r="P19" s="143">
        <v>1</v>
      </c>
      <c r="Q19" s="363">
        <f>IF(P19/I19=1,1,+P19/I19)</f>
        <v>1</v>
      </c>
      <c r="R19" s="272"/>
      <c r="S19" s="272"/>
      <c r="T19" s="272"/>
      <c r="U19" s="460" t="str">
        <f>IF(M19&lt;=K19,"Cumple","Incumple")</f>
        <v>Incumple</v>
      </c>
      <c r="V19" s="143" t="s">
        <v>2580</v>
      </c>
      <c r="W19" s="143" t="s">
        <v>2581</v>
      </c>
      <c r="X19" s="272"/>
      <c r="Y19" s="272" t="s">
        <v>2569</v>
      </c>
    </row>
    <row r="20" spans="1:25" s="462" customFormat="1" ht="132.6" customHeight="1" thickBot="1" x14ac:dyDescent="0.25">
      <c r="A20" s="143">
        <v>6</v>
      </c>
      <c r="B20" s="270" t="s">
        <v>2155</v>
      </c>
      <c r="C20" s="270" t="s">
        <v>2484</v>
      </c>
      <c r="D20" s="143" t="s">
        <v>2582</v>
      </c>
      <c r="E20" s="143" t="s">
        <v>2583</v>
      </c>
      <c r="F20" s="143" t="s">
        <v>2584</v>
      </c>
      <c r="G20" s="143" t="s">
        <v>2585</v>
      </c>
      <c r="H20" s="143" t="s">
        <v>2586</v>
      </c>
      <c r="I20" s="143">
        <v>1</v>
      </c>
      <c r="J20" s="356" t="s">
        <v>2490</v>
      </c>
      <c r="K20" s="356">
        <v>44895</v>
      </c>
      <c r="L20" s="477">
        <f t="shared" si="0"/>
        <v>20.285714285714285</v>
      </c>
      <c r="M20" s="466">
        <v>45076</v>
      </c>
      <c r="N20" s="467">
        <f t="shared" si="1"/>
        <v>25.857142857142858</v>
      </c>
      <c r="O20" s="457" t="str">
        <f t="shared" ca="1" si="2"/>
        <v>Alerta</v>
      </c>
      <c r="P20" s="143">
        <v>1</v>
      </c>
      <c r="Q20" s="363">
        <f t="shared" si="3"/>
        <v>1</v>
      </c>
      <c r="R20" s="272"/>
      <c r="S20" s="272"/>
      <c r="T20" s="272"/>
      <c r="U20" s="460" t="str">
        <f t="shared" si="4"/>
        <v>Incumple</v>
      </c>
      <c r="V20" s="143" t="s">
        <v>2587</v>
      </c>
      <c r="W20" s="143" t="s">
        <v>2588</v>
      </c>
      <c r="X20" s="272"/>
      <c r="Y20" s="272" t="s">
        <v>2589</v>
      </c>
    </row>
    <row r="21" spans="1:25" s="462" customFormat="1" ht="323.25" customHeight="1" thickBot="1" x14ac:dyDescent="0.25">
      <c r="A21" s="143">
        <v>7</v>
      </c>
      <c r="B21" s="270" t="s">
        <v>2155</v>
      </c>
      <c r="C21" s="270" t="s">
        <v>2484</v>
      </c>
      <c r="D21" s="143" t="s">
        <v>2590</v>
      </c>
      <c r="E21" s="143" t="s">
        <v>2591</v>
      </c>
      <c r="F21" s="143" t="s">
        <v>2592</v>
      </c>
      <c r="G21" s="143" t="s">
        <v>2593</v>
      </c>
      <c r="H21" s="143" t="s">
        <v>2594</v>
      </c>
      <c r="I21" s="355">
        <v>1</v>
      </c>
      <c r="J21" s="356" t="s">
        <v>2490</v>
      </c>
      <c r="K21" s="356">
        <v>45114</v>
      </c>
      <c r="L21" s="477">
        <f t="shared" si="0"/>
        <v>51.571428571428569</v>
      </c>
      <c r="M21" s="466">
        <v>45107</v>
      </c>
      <c r="N21" s="467">
        <f t="shared" si="1"/>
        <v>-1</v>
      </c>
      <c r="O21" s="457" t="str">
        <f t="shared" ca="1" si="2"/>
        <v>Alerta</v>
      </c>
      <c r="P21" s="355">
        <v>1</v>
      </c>
      <c r="Q21" s="363">
        <f t="shared" si="3"/>
        <v>1</v>
      </c>
      <c r="R21" s="272"/>
      <c r="S21" s="272"/>
      <c r="T21" s="272"/>
      <c r="U21" s="460" t="str">
        <f t="shared" si="4"/>
        <v>Cumple</v>
      </c>
      <c r="V21" s="143" t="s">
        <v>2595</v>
      </c>
      <c r="W21" s="143" t="s">
        <v>2596</v>
      </c>
      <c r="X21" s="272"/>
      <c r="Y21" s="272" t="s">
        <v>2597</v>
      </c>
    </row>
    <row r="22" spans="1:25" s="462" customFormat="1" ht="221.45" customHeight="1" thickBot="1" x14ac:dyDescent="0.25">
      <c r="A22" s="143">
        <v>7</v>
      </c>
      <c r="B22" s="270" t="s">
        <v>2155</v>
      </c>
      <c r="C22" s="270" t="s">
        <v>2484</v>
      </c>
      <c r="D22" s="143" t="s">
        <v>2598</v>
      </c>
      <c r="E22" s="143" t="s">
        <v>2591</v>
      </c>
      <c r="F22" s="143" t="s">
        <v>2592</v>
      </c>
      <c r="G22" s="143" t="s">
        <v>2599</v>
      </c>
      <c r="H22" s="143" t="s">
        <v>2600</v>
      </c>
      <c r="I22" s="143">
        <v>100</v>
      </c>
      <c r="J22" s="356" t="s">
        <v>2490</v>
      </c>
      <c r="K22" s="356">
        <v>45114</v>
      </c>
      <c r="L22" s="477">
        <f t="shared" si="0"/>
        <v>51.571428571428569</v>
      </c>
      <c r="M22" s="356">
        <v>44925</v>
      </c>
      <c r="N22" s="467">
        <f t="shared" si="1"/>
        <v>-27</v>
      </c>
      <c r="O22" s="457" t="str">
        <f t="shared" ca="1" si="2"/>
        <v>Alerta</v>
      </c>
      <c r="P22" s="143">
        <v>100</v>
      </c>
      <c r="Q22" s="363">
        <f t="shared" si="3"/>
        <v>1</v>
      </c>
      <c r="R22" s="272"/>
      <c r="S22" s="272"/>
      <c r="T22" s="272"/>
      <c r="U22" s="460" t="str">
        <f t="shared" si="4"/>
        <v>Cumple</v>
      </c>
      <c r="V22" s="143" t="s">
        <v>2601</v>
      </c>
      <c r="W22" s="143" t="s">
        <v>2602</v>
      </c>
      <c r="X22" s="272"/>
      <c r="Y22" s="272" t="s">
        <v>2597</v>
      </c>
    </row>
    <row r="23" spans="1:25" s="462" customFormat="1" ht="245.1" customHeight="1" thickBot="1" x14ac:dyDescent="0.25">
      <c r="A23" s="143">
        <v>7</v>
      </c>
      <c r="B23" s="270" t="s">
        <v>2155</v>
      </c>
      <c r="C23" s="270" t="s">
        <v>2484</v>
      </c>
      <c r="D23" s="143" t="s">
        <v>2603</v>
      </c>
      <c r="E23" s="143" t="s">
        <v>2604</v>
      </c>
      <c r="F23" s="143" t="s">
        <v>2605</v>
      </c>
      <c r="G23" s="143" t="s">
        <v>2606</v>
      </c>
      <c r="H23" s="143" t="s">
        <v>2607</v>
      </c>
      <c r="I23" s="143">
        <v>1</v>
      </c>
      <c r="J23" s="356" t="s">
        <v>2512</v>
      </c>
      <c r="K23" s="356">
        <v>44835</v>
      </c>
      <c r="L23" s="477">
        <f t="shared" si="0"/>
        <v>-5.2857142857142856</v>
      </c>
      <c r="M23" s="356">
        <v>44925</v>
      </c>
      <c r="N23" s="467">
        <f t="shared" si="1"/>
        <v>12.857142857142858</v>
      </c>
      <c r="O23" s="457" t="str">
        <f t="shared" ca="1" si="2"/>
        <v>Alerta</v>
      </c>
      <c r="P23" s="143">
        <v>1</v>
      </c>
      <c r="Q23" s="363">
        <f t="shared" si="3"/>
        <v>1</v>
      </c>
      <c r="R23" s="272"/>
      <c r="S23" s="272"/>
      <c r="T23" s="272"/>
      <c r="U23" s="460" t="str">
        <f t="shared" si="4"/>
        <v>Incumple</v>
      </c>
      <c r="V23" s="143" t="s">
        <v>2601</v>
      </c>
      <c r="W23" s="143" t="s">
        <v>2602</v>
      </c>
      <c r="X23" s="272"/>
      <c r="Y23" s="272" t="s">
        <v>2608</v>
      </c>
    </row>
    <row r="24" spans="1:25" s="462" customFormat="1" ht="174.6" customHeight="1" thickBot="1" x14ac:dyDescent="0.25">
      <c r="A24" s="143">
        <v>8</v>
      </c>
      <c r="B24" s="270" t="s">
        <v>2155</v>
      </c>
      <c r="C24" s="270" t="s">
        <v>2484</v>
      </c>
      <c r="D24" s="143" t="s">
        <v>2609</v>
      </c>
      <c r="E24" s="143" t="s">
        <v>2610</v>
      </c>
      <c r="F24" s="143" t="s">
        <v>2611</v>
      </c>
      <c r="G24" s="143" t="s">
        <v>2612</v>
      </c>
      <c r="H24" s="143" t="s">
        <v>2613</v>
      </c>
      <c r="I24" s="143">
        <v>1</v>
      </c>
      <c r="J24" s="356" t="s">
        <v>2490</v>
      </c>
      <c r="K24" s="356">
        <v>44772</v>
      </c>
      <c r="L24" s="477">
        <f t="shared" si="0"/>
        <v>2.7142857142857144</v>
      </c>
      <c r="M24" s="356">
        <v>44925</v>
      </c>
      <c r="N24" s="467">
        <f t="shared" si="1"/>
        <v>21.857142857142858</v>
      </c>
      <c r="O24" s="457" t="str">
        <f t="shared" ca="1" si="2"/>
        <v>Alerta</v>
      </c>
      <c r="P24" s="143">
        <v>1</v>
      </c>
      <c r="Q24" s="363">
        <f>IF(P24/I24=1,1,+P24/I24)</f>
        <v>1</v>
      </c>
      <c r="R24" s="272"/>
      <c r="S24" s="272"/>
      <c r="T24" s="272"/>
      <c r="U24" s="460" t="str">
        <f t="shared" si="4"/>
        <v>Incumple</v>
      </c>
      <c r="V24" s="143" t="s">
        <v>2614</v>
      </c>
      <c r="W24" s="143" t="s">
        <v>2615</v>
      </c>
      <c r="X24" s="272"/>
      <c r="Y24" s="272" t="s">
        <v>2616</v>
      </c>
    </row>
    <row r="25" spans="1:25" s="462" customFormat="1" ht="174.6" customHeight="1" thickBot="1" x14ac:dyDescent="0.25">
      <c r="A25" s="1121">
        <v>8</v>
      </c>
      <c r="B25" s="1130" t="s">
        <v>2155</v>
      </c>
      <c r="C25" s="1130" t="s">
        <v>2484</v>
      </c>
      <c r="D25" s="1121" t="s">
        <v>2609</v>
      </c>
      <c r="E25" s="1121" t="s">
        <v>2457</v>
      </c>
      <c r="F25" s="1121" t="s">
        <v>2458</v>
      </c>
      <c r="G25" s="143" t="s">
        <v>2617</v>
      </c>
      <c r="H25" s="143" t="s">
        <v>2460</v>
      </c>
      <c r="I25" s="251">
        <v>1</v>
      </c>
      <c r="J25" s="356">
        <v>44784</v>
      </c>
      <c r="K25" s="356">
        <v>44888</v>
      </c>
      <c r="L25" s="477">
        <f t="shared" si="0"/>
        <v>14.857142857142858</v>
      </c>
      <c r="M25" s="466">
        <v>45107</v>
      </c>
      <c r="N25" s="467">
        <f t="shared" si="1"/>
        <v>31.285714285714285</v>
      </c>
      <c r="O25" s="457" t="str">
        <f t="shared" ca="1" si="2"/>
        <v>Alerta</v>
      </c>
      <c r="P25" s="143">
        <v>1</v>
      </c>
      <c r="Q25" s="363">
        <f>IF(P25/I25=1,1,+P25/I25)</f>
        <v>1</v>
      </c>
      <c r="R25" s="272"/>
      <c r="S25" s="272"/>
      <c r="T25" s="272"/>
      <c r="U25" s="460" t="str">
        <f t="shared" si="4"/>
        <v>Incumple</v>
      </c>
      <c r="V25" s="143" t="s">
        <v>2618</v>
      </c>
      <c r="W25" s="143" t="s">
        <v>2619</v>
      </c>
      <c r="X25" s="272"/>
      <c r="Y25" s="1128" t="s">
        <v>2616</v>
      </c>
    </row>
    <row r="26" spans="1:25" s="462" customFormat="1" ht="357" customHeight="1" thickBot="1" x14ac:dyDescent="0.25">
      <c r="A26" s="1121"/>
      <c r="B26" s="1130"/>
      <c r="C26" s="1130"/>
      <c r="D26" s="1121"/>
      <c r="E26" s="1121"/>
      <c r="F26" s="1121"/>
      <c r="G26" s="143" t="s">
        <v>2620</v>
      </c>
      <c r="H26" s="143" t="s">
        <v>2464</v>
      </c>
      <c r="I26" s="475">
        <v>1</v>
      </c>
      <c r="J26" s="356">
        <v>44874</v>
      </c>
      <c r="K26" s="356">
        <v>44910</v>
      </c>
      <c r="L26" s="477">
        <f t="shared" si="0"/>
        <v>5.1428571428571432</v>
      </c>
      <c r="M26" s="466">
        <v>45107</v>
      </c>
      <c r="N26" s="467">
        <f t="shared" si="1"/>
        <v>28.142857142857142</v>
      </c>
      <c r="O26" s="457" t="str">
        <f t="shared" ca="1" si="2"/>
        <v>Alerta</v>
      </c>
      <c r="P26" s="355">
        <v>1</v>
      </c>
      <c r="Q26" s="363">
        <f>IF(P26/I26=1,1,+P26/I26)</f>
        <v>1</v>
      </c>
      <c r="R26" s="272"/>
      <c r="S26" s="272"/>
      <c r="T26" s="272"/>
      <c r="U26" s="460" t="str">
        <f t="shared" si="4"/>
        <v>Incumple</v>
      </c>
      <c r="V26" s="143" t="s">
        <v>2621</v>
      </c>
      <c r="W26" s="143" t="s">
        <v>2622</v>
      </c>
      <c r="X26" s="272"/>
      <c r="Y26" s="1128"/>
    </row>
    <row r="27" spans="1:25" s="462" customFormat="1" ht="129" thickBot="1" x14ac:dyDescent="0.25">
      <c r="A27" s="1121"/>
      <c r="B27" s="1130"/>
      <c r="C27" s="1130"/>
      <c r="D27" s="1121"/>
      <c r="E27" s="1121"/>
      <c r="F27" s="1121"/>
      <c r="G27" s="143" t="s">
        <v>2623</v>
      </c>
      <c r="H27" s="143" t="s">
        <v>2468</v>
      </c>
      <c r="I27" s="251">
        <v>1</v>
      </c>
      <c r="J27" s="356">
        <v>44784</v>
      </c>
      <c r="K27" s="140">
        <v>45838</v>
      </c>
      <c r="L27" s="831">
        <f t="shared" si="0"/>
        <v>150.57142857142858</v>
      </c>
      <c r="M27" s="817">
        <v>45485</v>
      </c>
      <c r="N27" s="467">
        <f t="shared" si="1"/>
        <v>-50.428571428571431</v>
      </c>
      <c r="O27" s="457" t="str">
        <f t="shared" ca="1" si="2"/>
        <v>Alerta</v>
      </c>
      <c r="P27" s="143">
        <v>0.5</v>
      </c>
      <c r="Q27" s="363">
        <f>IF(P27/I27=1,1,+P27/I27)</f>
        <v>0.5</v>
      </c>
      <c r="R27" s="272"/>
      <c r="S27" s="272"/>
      <c r="T27" s="272"/>
      <c r="U27" s="460" t="str">
        <f t="shared" si="4"/>
        <v>Cumple</v>
      </c>
      <c r="V27" s="139" t="s">
        <v>2624</v>
      </c>
      <c r="W27" s="139" t="s">
        <v>2625</v>
      </c>
      <c r="X27" s="272" t="s">
        <v>2626</v>
      </c>
      <c r="Y27" s="1128"/>
    </row>
    <row r="28" spans="1:25" s="462" customFormat="1" ht="296.45" customHeight="1" thickBot="1" x14ac:dyDescent="0.25">
      <c r="A28" s="143">
        <v>9</v>
      </c>
      <c r="B28" s="270" t="s">
        <v>2155</v>
      </c>
      <c r="C28" s="270" t="s">
        <v>2484</v>
      </c>
      <c r="D28" s="143" t="s">
        <v>2627</v>
      </c>
      <c r="E28" s="143" t="s">
        <v>2628</v>
      </c>
      <c r="F28" s="143" t="s">
        <v>2629</v>
      </c>
      <c r="G28" s="143" t="s">
        <v>2630</v>
      </c>
      <c r="H28" s="143" t="s">
        <v>2631</v>
      </c>
      <c r="I28" s="143">
        <v>1</v>
      </c>
      <c r="J28" s="356" t="s">
        <v>2490</v>
      </c>
      <c r="K28" s="356">
        <v>44895</v>
      </c>
      <c r="L28" s="477">
        <f t="shared" si="0"/>
        <v>20.285714285714285</v>
      </c>
      <c r="M28" s="356">
        <v>44925</v>
      </c>
      <c r="N28" s="467">
        <f t="shared" si="1"/>
        <v>4.2857142857142856</v>
      </c>
      <c r="O28" s="457" t="str">
        <f t="shared" ca="1" si="2"/>
        <v>Alerta</v>
      </c>
      <c r="P28" s="143">
        <v>1</v>
      </c>
      <c r="Q28" s="363">
        <f t="shared" si="3"/>
        <v>1</v>
      </c>
      <c r="R28" s="272"/>
      <c r="S28" s="272"/>
      <c r="T28" s="272"/>
      <c r="U28" s="460" t="str">
        <f t="shared" si="4"/>
        <v>Incumple</v>
      </c>
      <c r="V28" s="143" t="s">
        <v>2632</v>
      </c>
      <c r="W28" s="143" t="s">
        <v>2633</v>
      </c>
      <c r="X28" s="272"/>
      <c r="Y28" s="272" t="s">
        <v>2634</v>
      </c>
    </row>
    <row r="29" spans="1:25" s="462" customFormat="1" ht="189.75" customHeight="1" thickBot="1" x14ac:dyDescent="0.25">
      <c r="A29" s="143">
        <v>9</v>
      </c>
      <c r="B29" s="270" t="s">
        <v>2155</v>
      </c>
      <c r="C29" s="270" t="s">
        <v>2484</v>
      </c>
      <c r="D29" s="143" t="s">
        <v>2627</v>
      </c>
      <c r="E29" s="143" t="s">
        <v>2628</v>
      </c>
      <c r="F29" s="143" t="s">
        <v>2629</v>
      </c>
      <c r="G29" s="143" t="s">
        <v>2635</v>
      </c>
      <c r="H29" s="143" t="s">
        <v>2636</v>
      </c>
      <c r="I29" s="143">
        <v>100</v>
      </c>
      <c r="J29" s="356" t="s">
        <v>2490</v>
      </c>
      <c r="K29" s="356">
        <v>45107</v>
      </c>
      <c r="L29" s="477">
        <f t="shared" si="0"/>
        <v>50.571428571428569</v>
      </c>
      <c r="M29" s="466">
        <v>45107</v>
      </c>
      <c r="N29" s="467">
        <f t="shared" si="1"/>
        <v>0</v>
      </c>
      <c r="O29" s="457" t="str">
        <f t="shared" ca="1" si="2"/>
        <v>Alerta</v>
      </c>
      <c r="P29" s="143">
        <v>100</v>
      </c>
      <c r="Q29" s="363">
        <f>IF(P29/I29=1,1,+P29/I29)</f>
        <v>1</v>
      </c>
      <c r="R29" s="272"/>
      <c r="S29" s="272"/>
      <c r="T29" s="272"/>
      <c r="U29" s="460" t="str">
        <f t="shared" si="4"/>
        <v>Cumple</v>
      </c>
      <c r="V29" s="143" t="s">
        <v>2637</v>
      </c>
      <c r="W29" s="143" t="s">
        <v>2638</v>
      </c>
      <c r="X29" s="272"/>
      <c r="Y29" s="272" t="s">
        <v>2634</v>
      </c>
    </row>
    <row r="30" spans="1:25" s="462" customFormat="1" ht="173.25" customHeight="1" thickBot="1" x14ac:dyDescent="0.25">
      <c r="A30" s="143">
        <v>9</v>
      </c>
      <c r="B30" s="270" t="s">
        <v>2155</v>
      </c>
      <c r="C30" s="270" t="s">
        <v>2484</v>
      </c>
      <c r="D30" s="143" t="s">
        <v>2639</v>
      </c>
      <c r="E30" s="143" t="s">
        <v>2640</v>
      </c>
      <c r="F30" s="143" t="s">
        <v>2641</v>
      </c>
      <c r="G30" s="143" t="s">
        <v>2642</v>
      </c>
      <c r="H30" s="143" t="s">
        <v>2600</v>
      </c>
      <c r="I30" s="143">
        <v>100</v>
      </c>
      <c r="J30" s="356" t="s">
        <v>2490</v>
      </c>
      <c r="K30" s="356">
        <v>45114</v>
      </c>
      <c r="L30" s="477">
        <f t="shared" si="0"/>
        <v>51.571428571428569</v>
      </c>
      <c r="M30" s="466">
        <v>44925</v>
      </c>
      <c r="N30" s="467">
        <f t="shared" si="1"/>
        <v>-27</v>
      </c>
      <c r="O30" s="457" t="str">
        <f t="shared" ca="1" si="2"/>
        <v>Alerta</v>
      </c>
      <c r="P30" s="143">
        <v>100</v>
      </c>
      <c r="Q30" s="363">
        <f>IF(P30/I30=1,1,+P30/I30)</f>
        <v>1</v>
      </c>
      <c r="R30" s="272"/>
      <c r="S30" s="272"/>
      <c r="T30" s="272"/>
      <c r="U30" s="460" t="str">
        <f t="shared" si="4"/>
        <v>Cumple</v>
      </c>
      <c r="V30" s="143" t="s">
        <v>2601</v>
      </c>
      <c r="W30" s="143" t="s">
        <v>2643</v>
      </c>
      <c r="X30" s="272"/>
      <c r="Y30" s="272" t="s">
        <v>2634</v>
      </c>
    </row>
    <row r="31" spans="1:25" s="462" customFormat="1" ht="273.75" customHeight="1" thickBot="1" x14ac:dyDescent="0.25">
      <c r="A31" s="251">
        <v>4</v>
      </c>
      <c r="B31" s="143" t="s">
        <v>2155</v>
      </c>
      <c r="C31" s="143" t="s">
        <v>2156</v>
      </c>
      <c r="D31" s="143" t="s">
        <v>2644</v>
      </c>
      <c r="E31" s="143" t="s">
        <v>2645</v>
      </c>
      <c r="F31" s="143" t="s">
        <v>2487</v>
      </c>
      <c r="G31" s="143" t="s">
        <v>2488</v>
      </c>
      <c r="H31" s="143" t="s">
        <v>2489</v>
      </c>
      <c r="I31" s="143">
        <v>1</v>
      </c>
      <c r="J31" s="480">
        <v>44824</v>
      </c>
      <c r="K31" s="480">
        <v>44925</v>
      </c>
      <c r="L31" s="477">
        <f t="shared" si="0"/>
        <v>14.428571428571429</v>
      </c>
      <c r="M31" s="356" t="s">
        <v>2646</v>
      </c>
      <c r="N31" s="467">
        <f t="shared" si="1"/>
        <v>-4.5714285714285712</v>
      </c>
      <c r="O31" s="457" t="str">
        <f t="shared" ca="1" si="2"/>
        <v>Alerta</v>
      </c>
      <c r="P31" s="251">
        <v>1</v>
      </c>
      <c r="Q31" s="363">
        <f t="shared" si="3"/>
        <v>1</v>
      </c>
      <c r="R31" s="273" t="s">
        <v>162</v>
      </c>
      <c r="S31" s="273" t="s">
        <v>162</v>
      </c>
      <c r="T31" s="273" t="s">
        <v>162</v>
      </c>
      <c r="U31" s="460" t="str">
        <f t="shared" si="4"/>
        <v>Incumple</v>
      </c>
      <c r="V31" s="251" t="s">
        <v>2647</v>
      </c>
      <c r="W31" s="143" t="s">
        <v>2648</v>
      </c>
      <c r="X31" s="273" t="s">
        <v>162</v>
      </c>
      <c r="Y31" s="273" t="s">
        <v>162</v>
      </c>
    </row>
    <row r="32" spans="1:25" s="462" customFormat="1" ht="254.25" customHeight="1" thickBot="1" x14ac:dyDescent="0.25">
      <c r="A32" s="251">
        <v>4</v>
      </c>
      <c r="B32" s="143" t="s">
        <v>2155</v>
      </c>
      <c r="C32" s="143" t="s">
        <v>2156</v>
      </c>
      <c r="D32" s="143" t="s">
        <v>2644</v>
      </c>
      <c r="E32" s="143" t="s">
        <v>2645</v>
      </c>
      <c r="F32" s="143" t="s">
        <v>2487</v>
      </c>
      <c r="G32" s="143" t="s">
        <v>2495</v>
      </c>
      <c r="H32" s="143" t="s">
        <v>2496</v>
      </c>
      <c r="I32" s="143">
        <v>100</v>
      </c>
      <c r="J32" s="480">
        <v>44824</v>
      </c>
      <c r="K32" s="480">
        <v>44925</v>
      </c>
      <c r="L32" s="477">
        <f t="shared" si="0"/>
        <v>14.428571428571429</v>
      </c>
      <c r="M32" s="356" t="s">
        <v>2646</v>
      </c>
      <c r="N32" s="467">
        <f t="shared" si="1"/>
        <v>-4.5714285714285712</v>
      </c>
      <c r="O32" s="457" t="str">
        <f t="shared" ca="1" si="2"/>
        <v>Alerta</v>
      </c>
      <c r="P32" s="251">
        <v>100</v>
      </c>
      <c r="Q32" s="363">
        <f t="shared" si="3"/>
        <v>1</v>
      </c>
      <c r="R32" s="273" t="s">
        <v>162</v>
      </c>
      <c r="S32" s="273" t="s">
        <v>162</v>
      </c>
      <c r="T32" s="273" t="s">
        <v>162</v>
      </c>
      <c r="U32" s="460" t="str">
        <f t="shared" si="4"/>
        <v>Incumple</v>
      </c>
      <c r="V32" s="251" t="s">
        <v>162</v>
      </c>
      <c r="W32" s="143" t="s">
        <v>2649</v>
      </c>
      <c r="X32" s="273" t="s">
        <v>162</v>
      </c>
      <c r="Y32" s="273" t="s">
        <v>162</v>
      </c>
    </row>
    <row r="33" spans="1:25" s="462" customFormat="1" ht="249.75" customHeight="1" thickBot="1" x14ac:dyDescent="0.25">
      <c r="A33" s="251">
        <v>4</v>
      </c>
      <c r="B33" s="143" t="s">
        <v>2155</v>
      </c>
      <c r="C33" s="143" t="s">
        <v>2156</v>
      </c>
      <c r="D33" s="143" t="s">
        <v>2644</v>
      </c>
      <c r="E33" s="143" t="s">
        <v>2645</v>
      </c>
      <c r="F33" s="143" t="s">
        <v>2487</v>
      </c>
      <c r="G33" s="143" t="s">
        <v>2500</v>
      </c>
      <c r="H33" s="143" t="s">
        <v>2501</v>
      </c>
      <c r="I33" s="143">
        <v>100</v>
      </c>
      <c r="J33" s="480">
        <v>44824</v>
      </c>
      <c r="K33" s="480">
        <v>44925</v>
      </c>
      <c r="L33" s="477">
        <f t="shared" si="0"/>
        <v>14.428571428571429</v>
      </c>
      <c r="M33" s="356" t="s">
        <v>2646</v>
      </c>
      <c r="N33" s="467">
        <f t="shared" si="1"/>
        <v>-4.5714285714285712</v>
      </c>
      <c r="O33" s="457" t="str">
        <f t="shared" ca="1" si="2"/>
        <v>Alerta</v>
      </c>
      <c r="P33" s="251">
        <v>100</v>
      </c>
      <c r="Q33" s="363">
        <f t="shared" si="3"/>
        <v>1</v>
      </c>
      <c r="R33" s="273" t="s">
        <v>162</v>
      </c>
      <c r="S33" s="273" t="s">
        <v>162</v>
      </c>
      <c r="T33" s="273" t="s">
        <v>162</v>
      </c>
      <c r="U33" s="460" t="str">
        <f t="shared" si="4"/>
        <v>Incumple</v>
      </c>
      <c r="V33" s="251" t="s">
        <v>162</v>
      </c>
      <c r="W33" s="143" t="s">
        <v>2649</v>
      </c>
      <c r="X33" s="273" t="s">
        <v>162</v>
      </c>
      <c r="Y33" s="273" t="s">
        <v>162</v>
      </c>
    </row>
    <row r="34" spans="1:25" s="462" customFormat="1" ht="351.75" customHeight="1" thickBot="1" x14ac:dyDescent="0.25">
      <c r="A34" s="251">
        <v>4</v>
      </c>
      <c r="B34" s="143" t="s">
        <v>2155</v>
      </c>
      <c r="C34" s="143" t="s">
        <v>2156</v>
      </c>
      <c r="D34" s="143" t="s">
        <v>2644</v>
      </c>
      <c r="E34" s="143" t="s">
        <v>2486</v>
      </c>
      <c r="F34" s="143" t="s">
        <v>2487</v>
      </c>
      <c r="G34" s="143" t="s">
        <v>2650</v>
      </c>
      <c r="H34" s="143" t="s">
        <v>2504</v>
      </c>
      <c r="I34" s="143">
        <v>2</v>
      </c>
      <c r="J34" s="480">
        <v>44824</v>
      </c>
      <c r="K34" s="480">
        <v>44925</v>
      </c>
      <c r="L34" s="477">
        <f t="shared" si="0"/>
        <v>14.428571428571429</v>
      </c>
      <c r="M34" s="466">
        <v>45224</v>
      </c>
      <c r="N34" s="467">
        <f t="shared" si="1"/>
        <v>42.714285714285715</v>
      </c>
      <c r="O34" s="457" t="str">
        <f t="shared" ca="1" si="2"/>
        <v>Alerta</v>
      </c>
      <c r="P34" s="251">
        <v>2</v>
      </c>
      <c r="Q34" s="363">
        <f>IF(P34/I34=1,1,+P34/I34)</f>
        <v>1</v>
      </c>
      <c r="R34" s="273" t="s">
        <v>162</v>
      </c>
      <c r="S34" s="273" t="s">
        <v>162</v>
      </c>
      <c r="T34" s="273" t="s">
        <v>162</v>
      </c>
      <c r="U34" s="460" t="str">
        <f t="shared" si="4"/>
        <v>Incumple</v>
      </c>
      <c r="V34" s="225" t="s">
        <v>2651</v>
      </c>
      <c r="W34" s="143" t="s">
        <v>2652</v>
      </c>
      <c r="X34" s="273" t="s">
        <v>162</v>
      </c>
      <c r="Y34" s="273" t="s">
        <v>162</v>
      </c>
    </row>
    <row r="35" spans="1:25" s="462" customFormat="1" ht="264.75" customHeight="1" thickBot="1" x14ac:dyDescent="0.25">
      <c r="A35" s="251">
        <v>4</v>
      </c>
      <c r="B35" s="143" t="s">
        <v>2155</v>
      </c>
      <c r="C35" s="143" t="s">
        <v>2156</v>
      </c>
      <c r="D35" s="143" t="s">
        <v>2644</v>
      </c>
      <c r="E35" s="143" t="s">
        <v>2508</v>
      </c>
      <c r="F35" s="143" t="s">
        <v>2509</v>
      </c>
      <c r="G35" s="143" t="s">
        <v>2510</v>
      </c>
      <c r="H35" s="143" t="s">
        <v>2511</v>
      </c>
      <c r="I35" s="143">
        <v>100</v>
      </c>
      <c r="J35" s="480">
        <v>44824</v>
      </c>
      <c r="K35" s="356">
        <v>45118</v>
      </c>
      <c r="L35" s="477">
        <f t="shared" si="0"/>
        <v>42</v>
      </c>
      <c r="M35" s="466">
        <v>45107</v>
      </c>
      <c r="N35" s="467">
        <f t="shared" si="1"/>
        <v>-1.5714285714285714</v>
      </c>
      <c r="O35" s="457" t="str">
        <f t="shared" ca="1" si="2"/>
        <v>Alerta</v>
      </c>
      <c r="P35" s="251">
        <v>100</v>
      </c>
      <c r="Q35" s="363">
        <f t="shared" si="3"/>
        <v>1</v>
      </c>
      <c r="R35" s="273" t="s">
        <v>162</v>
      </c>
      <c r="S35" s="273" t="s">
        <v>162</v>
      </c>
      <c r="T35" s="273" t="s">
        <v>162</v>
      </c>
      <c r="U35" s="460" t="str">
        <f t="shared" si="4"/>
        <v>Cumple</v>
      </c>
      <c r="V35" s="143" t="s">
        <v>2653</v>
      </c>
      <c r="W35" s="143" t="s">
        <v>2654</v>
      </c>
      <c r="X35" s="273" t="s">
        <v>162</v>
      </c>
      <c r="Y35" s="273" t="s">
        <v>162</v>
      </c>
    </row>
    <row r="36" spans="1:25" s="462" customFormat="1" ht="336" customHeight="1" thickBot="1" x14ac:dyDescent="0.25">
      <c r="A36" s="251">
        <v>15</v>
      </c>
      <c r="B36" s="143" t="s">
        <v>2155</v>
      </c>
      <c r="C36" s="143" t="s">
        <v>2326</v>
      </c>
      <c r="D36" s="143" t="s">
        <v>2655</v>
      </c>
      <c r="E36" s="143" t="s">
        <v>2547</v>
      </c>
      <c r="F36" s="143" t="s">
        <v>2548</v>
      </c>
      <c r="G36" s="143" t="s">
        <v>2549</v>
      </c>
      <c r="H36" s="143" t="s">
        <v>2550</v>
      </c>
      <c r="I36" s="143">
        <v>100</v>
      </c>
      <c r="J36" s="480">
        <v>44824</v>
      </c>
      <c r="K36" s="140">
        <v>45961</v>
      </c>
      <c r="L36" s="831">
        <f t="shared" si="0"/>
        <v>162.42857142857142</v>
      </c>
      <c r="M36" s="817">
        <v>45657</v>
      </c>
      <c r="N36" s="467">
        <f t="shared" si="1"/>
        <v>-43.428571428571431</v>
      </c>
      <c r="O36" s="457" t="str">
        <f t="shared" ca="1" si="2"/>
        <v>Alerta</v>
      </c>
      <c r="P36" s="251">
        <v>91</v>
      </c>
      <c r="Q36" s="363">
        <f>IF(P36/I36=1,1,+P36/I36)</f>
        <v>0.91</v>
      </c>
      <c r="R36" s="273" t="s">
        <v>162</v>
      </c>
      <c r="S36" s="273" t="s">
        <v>162</v>
      </c>
      <c r="T36" s="273" t="s">
        <v>162</v>
      </c>
      <c r="U36" s="460" t="str">
        <f t="shared" si="4"/>
        <v>Cumple</v>
      </c>
      <c r="V36" s="139" t="s">
        <v>3250</v>
      </c>
      <c r="W36" s="139" t="s">
        <v>3251</v>
      </c>
      <c r="X36" s="273" t="s">
        <v>162</v>
      </c>
      <c r="Y36" s="272" t="s">
        <v>2530</v>
      </c>
    </row>
    <row r="37" spans="1:25" s="462" customFormat="1" ht="96" customHeight="1" thickBot="1" x14ac:dyDescent="0.25">
      <c r="A37" s="251">
        <v>15</v>
      </c>
      <c r="B37" s="143" t="s">
        <v>2155</v>
      </c>
      <c r="C37" s="143" t="s">
        <v>2326</v>
      </c>
      <c r="D37" s="143" t="s">
        <v>2656</v>
      </c>
      <c r="E37" s="143" t="s">
        <v>2547</v>
      </c>
      <c r="F37" s="143" t="s">
        <v>2548</v>
      </c>
      <c r="G37" s="143" t="s">
        <v>2551</v>
      </c>
      <c r="H37" s="143" t="s">
        <v>2552</v>
      </c>
      <c r="I37" s="143">
        <v>1</v>
      </c>
      <c r="J37" s="480">
        <v>44824</v>
      </c>
      <c r="K37" s="356">
        <v>45114</v>
      </c>
      <c r="L37" s="477">
        <f t="shared" si="0"/>
        <v>41.428571428571431</v>
      </c>
      <c r="M37" s="466">
        <v>45247</v>
      </c>
      <c r="N37" s="467">
        <f t="shared" si="1"/>
        <v>19</v>
      </c>
      <c r="O37" s="457" t="str">
        <f t="shared" ca="1" si="2"/>
        <v>Alerta</v>
      </c>
      <c r="P37" s="475">
        <v>1</v>
      </c>
      <c r="Q37" s="363">
        <f>IF(P37/I37=1,1,+P37/I37)</f>
        <v>1</v>
      </c>
      <c r="R37" s="273" t="s">
        <v>162</v>
      </c>
      <c r="S37" s="273" t="s">
        <v>162</v>
      </c>
      <c r="T37" s="273" t="s">
        <v>162</v>
      </c>
      <c r="U37" s="460" t="str">
        <f t="shared" si="4"/>
        <v>Incumple</v>
      </c>
      <c r="V37" s="143" t="s">
        <v>2657</v>
      </c>
      <c r="W37" s="143" t="s">
        <v>2554</v>
      </c>
      <c r="X37" s="273" t="s">
        <v>162</v>
      </c>
      <c r="Y37" s="273" t="s">
        <v>162</v>
      </c>
    </row>
    <row r="38" spans="1:25" s="462" customFormat="1" ht="348.75" customHeight="1" thickBot="1" x14ac:dyDescent="0.25">
      <c r="A38" s="251">
        <v>16</v>
      </c>
      <c r="B38" s="143" t="s">
        <v>2155</v>
      </c>
      <c r="C38" s="143" t="s">
        <v>2326</v>
      </c>
      <c r="D38" s="1126" t="s">
        <v>2658</v>
      </c>
      <c r="E38" s="143" t="s">
        <v>2547</v>
      </c>
      <c r="F38" s="143" t="s">
        <v>2548</v>
      </c>
      <c r="G38" s="143" t="s">
        <v>2549</v>
      </c>
      <c r="H38" s="143" t="s">
        <v>2550</v>
      </c>
      <c r="I38" s="143">
        <v>100</v>
      </c>
      <c r="J38" s="480">
        <v>44824</v>
      </c>
      <c r="K38" s="140">
        <v>45961</v>
      </c>
      <c r="L38" s="831">
        <f t="shared" si="0"/>
        <v>162.42857142857142</v>
      </c>
      <c r="M38" s="817">
        <v>45657</v>
      </c>
      <c r="N38" s="467">
        <f t="shared" si="1"/>
        <v>-43.428571428571431</v>
      </c>
      <c r="O38" s="457" t="str">
        <f t="shared" ca="1" si="2"/>
        <v>Alerta</v>
      </c>
      <c r="P38" s="251">
        <v>73</v>
      </c>
      <c r="Q38" s="363">
        <f>IF(P38/I38=1,1,+P38/I38)</f>
        <v>0.73</v>
      </c>
      <c r="R38" s="273" t="s">
        <v>162</v>
      </c>
      <c r="S38" s="273" t="s">
        <v>162</v>
      </c>
      <c r="T38" s="273" t="s">
        <v>162</v>
      </c>
      <c r="U38" s="460" t="str">
        <f t="shared" si="4"/>
        <v>Cumple</v>
      </c>
      <c r="V38" s="139" t="s">
        <v>3250</v>
      </c>
      <c r="W38" s="139" t="s">
        <v>3252</v>
      </c>
      <c r="X38" s="273" t="s">
        <v>162</v>
      </c>
      <c r="Y38" s="272" t="s">
        <v>2530</v>
      </c>
    </row>
    <row r="39" spans="1:25" s="462" customFormat="1" ht="111.75" customHeight="1" thickBot="1" x14ac:dyDescent="0.25">
      <c r="A39" s="251">
        <v>16</v>
      </c>
      <c r="B39" s="143" t="s">
        <v>2155</v>
      </c>
      <c r="C39" s="143" t="s">
        <v>2326</v>
      </c>
      <c r="D39" s="1127"/>
      <c r="E39" s="143" t="s">
        <v>2547</v>
      </c>
      <c r="F39" s="143" t="s">
        <v>2548</v>
      </c>
      <c r="G39" s="143" t="s">
        <v>2551</v>
      </c>
      <c r="H39" s="143" t="s">
        <v>2552</v>
      </c>
      <c r="I39" s="143">
        <v>1</v>
      </c>
      <c r="J39" s="480">
        <v>44824</v>
      </c>
      <c r="K39" s="356">
        <v>45114</v>
      </c>
      <c r="L39" s="477">
        <f t="shared" si="0"/>
        <v>41.428571428571431</v>
      </c>
      <c r="M39" s="466">
        <v>45247</v>
      </c>
      <c r="N39" s="467">
        <f>(M39-K39)/7</f>
        <v>19</v>
      </c>
      <c r="O39" s="457" t="str">
        <f ca="1">IF((K39-TODAY())/7&gt;=L39/4,"En tiempo","Alerta")</f>
        <v>Alerta</v>
      </c>
      <c r="P39" s="475">
        <v>1</v>
      </c>
      <c r="Q39" s="363">
        <f>IF(P39/I39=1,1,+P39/I39)</f>
        <v>1</v>
      </c>
      <c r="R39" s="273" t="s">
        <v>162</v>
      </c>
      <c r="S39" s="273" t="s">
        <v>162</v>
      </c>
      <c r="T39" s="273" t="s">
        <v>162</v>
      </c>
      <c r="U39" s="460" t="str">
        <f>IF(M39&lt;=K39,"Cumple","Incumple")</f>
        <v>Incumple</v>
      </c>
      <c r="V39" s="143" t="s">
        <v>2659</v>
      </c>
      <c r="W39" s="143" t="s">
        <v>2554</v>
      </c>
      <c r="X39" s="273" t="s">
        <v>162</v>
      </c>
      <c r="Y39" s="273" t="s">
        <v>162</v>
      </c>
    </row>
    <row r="40" spans="1:25" ht="15.75" thickBot="1" x14ac:dyDescent="0.25">
      <c r="Q40" s="120">
        <f>AVERAGE(Q4:Q39)</f>
        <v>0.96861111111111109</v>
      </c>
      <c r="U40" s="121">
        <f>(COUNTIF(U4:U39,"Cumple")*100%)/COUNTA(U4:U39)</f>
        <v>0.30555555555555558</v>
      </c>
      <c r="W40"/>
    </row>
  </sheetData>
  <autoFilter ref="A3:Y40" xr:uid="{00000000-0001-0000-0F00-000000000000}"/>
  <mergeCells count="9">
    <mergeCell ref="D38:D39"/>
    <mergeCell ref="Y25:Y27"/>
    <mergeCell ref="A1:Y2"/>
    <mergeCell ref="E25:E27"/>
    <mergeCell ref="F25:F27"/>
    <mergeCell ref="A25:A27"/>
    <mergeCell ref="B25:B27"/>
    <mergeCell ref="C25:C27"/>
    <mergeCell ref="D25:D27"/>
  </mergeCells>
  <conditionalFormatting sqref="O4:O39">
    <cfRule type="containsText" dxfId="44" priority="1" operator="containsText" text="Alerta">
      <formula>NOT(ISERROR(SEARCH("Alerta",O4)))</formula>
    </cfRule>
    <cfRule type="containsText" dxfId="43" priority="2" operator="containsText" text="En tiempo">
      <formula>NOT(ISERROR(SEARCH("En tiempo",O4)))</formula>
    </cfRule>
  </conditionalFormatting>
  <conditionalFormatting sqref="Q1:Q3 Q40:Q1048576">
    <cfRule type="colorScale" priority="13">
      <colorScale>
        <cfvo type="min"/>
        <cfvo type="percentile" val="50"/>
        <cfvo type="max"/>
        <color rgb="FFF8696B"/>
        <color rgb="FFFFEB84"/>
        <color rgb="FF63BE7B"/>
      </colorScale>
    </cfRule>
  </conditionalFormatting>
  <conditionalFormatting sqref="Q3">
    <cfRule type="cellIs" dxfId="42" priority="18" stopIfTrue="1" operator="between">
      <formula>0.9</formula>
      <formula>1</formula>
    </cfRule>
    <cfRule type="cellIs" dxfId="41" priority="19" stopIfTrue="1" operator="between">
      <formula>0.5</formula>
      <formula>0.89</formula>
    </cfRule>
    <cfRule type="cellIs" dxfId="40" priority="20" stopIfTrue="1" operator="between">
      <formula>0.2</formula>
      <formula>0.49</formula>
    </cfRule>
    <cfRule type="cellIs" dxfId="39" priority="21" stopIfTrue="1" operator="between">
      <formula>0</formula>
      <formula>0.19</formula>
    </cfRule>
  </conditionalFormatting>
  <conditionalFormatting sqref="Q4:Q39">
    <cfRule type="cellIs" dxfId="38" priority="3" stopIfTrue="1" operator="between">
      <formula>0.8</formula>
      <formula>1</formula>
    </cfRule>
    <cfRule type="cellIs" dxfId="37" priority="4" stopIfTrue="1" operator="between">
      <formula>0.5</formula>
      <formula>0.79</formula>
    </cfRule>
    <cfRule type="cellIs" dxfId="36" priority="5" stopIfTrue="1" operator="between">
      <formula>0.3</formula>
      <formula>0.49</formula>
    </cfRule>
    <cfRule type="cellIs" dxfId="35" priority="6" stopIfTrue="1" operator="between">
      <formula>0</formula>
      <formula>0.29</formula>
    </cfRule>
  </conditionalFormatting>
  <conditionalFormatting sqref="U4:U39">
    <cfRule type="containsText" dxfId="34" priority="11" operator="containsText" text="Incumple">
      <formula>NOT(ISERROR(SEARCH("Incumple",U4)))</formula>
    </cfRule>
    <cfRule type="containsText" dxfId="33" priority="12" operator="containsText" text="Cumple">
      <formula>NOT(ISERROR(SEARCH("Cumple",U4)))</formula>
    </cfRule>
  </conditionalFormatting>
  <conditionalFormatting sqref="U40">
    <cfRule type="cellIs" dxfId="32" priority="7" operator="between">
      <formula>0.19</formula>
      <formula>0</formula>
    </cfRule>
    <cfRule type="cellIs" dxfId="31" priority="8" operator="between">
      <formula>0.49</formula>
      <formula>0.2</formula>
    </cfRule>
    <cfRule type="cellIs" dxfId="30" priority="9" operator="between">
      <formula>0.89</formula>
      <formula>0.5</formula>
    </cfRule>
    <cfRule type="cellIs" dxfId="29" priority="10" operator="between">
      <formula>1</formula>
      <formula>0.9</formula>
    </cfRule>
  </conditionalFormatting>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144E7-2D9B-440E-9EC3-FA62ED2A4796}">
  <sheetPr>
    <tabColor rgb="FF7030A0"/>
  </sheetPr>
  <dimension ref="A1:Y25"/>
  <sheetViews>
    <sheetView topLeftCell="A3" zoomScale="80" zoomScaleNormal="80" workbookViewId="0">
      <pane xSplit="3" ySplit="1" topLeftCell="L4" activePane="bottomRight" state="frozen"/>
      <selection pane="topRight"/>
      <selection pane="bottomLeft"/>
      <selection pane="bottomRight" activeCell="V6" sqref="V6"/>
    </sheetView>
  </sheetViews>
  <sheetFormatPr baseColWidth="10" defaultColWidth="11.42578125" defaultRowHeight="14.25" x14ac:dyDescent="0.2"/>
  <cols>
    <col min="1" max="3" width="11.42578125" style="61"/>
    <col min="4" max="4" width="104.42578125" style="61" customWidth="1"/>
    <col min="5" max="5" width="39.5703125" style="61" customWidth="1"/>
    <col min="6" max="7" width="25.140625" style="61" customWidth="1"/>
    <col min="8" max="8" width="14.5703125" style="61" customWidth="1"/>
    <col min="9" max="9" width="11.42578125" style="61" customWidth="1"/>
    <col min="10" max="10" width="18.140625" style="98" customWidth="1"/>
    <col min="11" max="11" width="19.42578125" style="98" customWidth="1"/>
    <col min="12" max="12" width="18.85546875" style="61" customWidth="1"/>
    <col min="13" max="13" width="21.85546875" style="98" customWidth="1"/>
    <col min="14" max="14" width="14.140625" style="61" customWidth="1"/>
    <col min="15" max="17" width="11.42578125" style="61" customWidth="1"/>
    <col min="18" max="20" width="11.42578125" style="61" hidden="1" customWidth="1"/>
    <col min="21" max="21" width="14" style="61" customWidth="1"/>
    <col min="22" max="22" width="101.5703125" style="61" customWidth="1"/>
    <col min="23" max="23" width="113" style="61" customWidth="1"/>
    <col min="24" max="24" width="46.7109375" style="61" hidden="1" customWidth="1"/>
    <col min="25" max="25" width="19.140625" style="61" customWidth="1"/>
    <col min="26" max="27" width="11.42578125" style="61" customWidth="1"/>
    <col min="28" max="16384" width="11.42578125" style="61"/>
  </cols>
  <sheetData>
    <row r="1" spans="1:25" x14ac:dyDescent="0.2">
      <c r="A1" s="1129" t="s">
        <v>2660</v>
      </c>
      <c r="B1" s="1129"/>
      <c r="C1" s="1129"/>
      <c r="D1" s="1129"/>
      <c r="E1" s="1129"/>
      <c r="F1" s="1129"/>
      <c r="G1" s="1129"/>
      <c r="H1" s="1129"/>
      <c r="I1" s="1129"/>
      <c r="J1" s="1129"/>
      <c r="K1" s="1129"/>
      <c r="L1" s="1129"/>
      <c r="M1" s="1129"/>
      <c r="N1" s="1129"/>
      <c r="O1" s="1129"/>
      <c r="P1" s="1129"/>
      <c r="Q1" s="1129"/>
      <c r="R1" s="1129"/>
      <c r="S1" s="1129"/>
      <c r="T1" s="1129"/>
      <c r="U1" s="1129"/>
      <c r="V1" s="1129"/>
      <c r="W1" s="1129"/>
      <c r="X1" s="1129"/>
      <c r="Y1" s="1129"/>
    </row>
    <row r="2" spans="1:25" x14ac:dyDescent="0.2">
      <c r="A2" s="1129"/>
      <c r="B2" s="1129"/>
      <c r="C2" s="1129"/>
      <c r="D2" s="1129"/>
      <c r="E2" s="1129"/>
      <c r="F2" s="1129"/>
      <c r="G2" s="1129"/>
      <c r="H2" s="1129"/>
      <c r="I2" s="1129"/>
      <c r="J2" s="1129"/>
      <c r="K2" s="1129"/>
      <c r="L2" s="1129"/>
      <c r="M2" s="1129"/>
      <c r="N2" s="1129"/>
      <c r="O2" s="1129"/>
      <c r="P2" s="1129"/>
      <c r="Q2" s="1129"/>
      <c r="R2" s="1129"/>
      <c r="S2" s="1129"/>
      <c r="T2" s="1129"/>
      <c r="U2" s="1129"/>
      <c r="V2" s="1129"/>
      <c r="W2" s="1129"/>
      <c r="X2" s="1129"/>
      <c r="Y2" s="1129"/>
    </row>
    <row r="3" spans="1:25" ht="120" x14ac:dyDescent="0.2">
      <c r="A3" s="114"/>
      <c r="B3" s="115" t="s">
        <v>2141</v>
      </c>
      <c r="C3" s="115"/>
      <c r="D3" s="115" t="s">
        <v>2142</v>
      </c>
      <c r="E3" s="115" t="s">
        <v>2143</v>
      </c>
      <c r="F3" s="115" t="s">
        <v>2144</v>
      </c>
      <c r="G3" s="115" t="s">
        <v>27</v>
      </c>
      <c r="H3" s="115" t="s">
        <v>2145</v>
      </c>
      <c r="I3" s="115" t="s">
        <v>2146</v>
      </c>
      <c r="J3" s="116" t="s">
        <v>34</v>
      </c>
      <c r="K3" s="116" t="s">
        <v>35</v>
      </c>
      <c r="L3" s="115" t="s">
        <v>36</v>
      </c>
      <c r="M3" s="116" t="s">
        <v>37</v>
      </c>
      <c r="N3" s="115" t="s">
        <v>2147</v>
      </c>
      <c r="O3" s="115" t="s">
        <v>2148</v>
      </c>
      <c r="P3" s="115" t="s">
        <v>41</v>
      </c>
      <c r="Q3" s="115" t="s">
        <v>42</v>
      </c>
      <c r="R3" s="115" t="s">
        <v>2149</v>
      </c>
      <c r="S3" s="117" t="s">
        <v>2150</v>
      </c>
      <c r="T3" s="117" t="s">
        <v>2151</v>
      </c>
      <c r="U3" s="117" t="s">
        <v>44</v>
      </c>
      <c r="V3" s="117" t="s">
        <v>2152</v>
      </c>
      <c r="W3" s="117" t="s">
        <v>2153</v>
      </c>
      <c r="X3" s="117" t="s">
        <v>21</v>
      </c>
      <c r="Y3" s="117" t="s">
        <v>2154</v>
      </c>
    </row>
    <row r="4" spans="1:25" s="97" customFormat="1" ht="171" x14ac:dyDescent="0.2">
      <c r="A4" s="272">
        <v>1</v>
      </c>
      <c r="B4" s="461" t="s">
        <v>2155</v>
      </c>
      <c r="C4" s="461" t="s">
        <v>2661</v>
      </c>
      <c r="D4" s="314" t="s">
        <v>2662</v>
      </c>
      <c r="E4" s="315" t="s">
        <v>2663</v>
      </c>
      <c r="F4" s="315" t="s">
        <v>2664</v>
      </c>
      <c r="G4" s="463" t="s">
        <v>2665</v>
      </c>
      <c r="H4" s="315" t="s">
        <v>2666</v>
      </c>
      <c r="I4" s="314">
        <v>3</v>
      </c>
      <c r="J4" s="835">
        <v>45482</v>
      </c>
      <c r="K4" s="832">
        <v>45747</v>
      </c>
      <c r="L4" s="833">
        <f t="shared" ref="L4:L24" si="0">(K4-J4)/7</f>
        <v>37.857142857142854</v>
      </c>
      <c r="M4" s="110">
        <v>45657</v>
      </c>
      <c r="N4" s="467">
        <f>(M4-K4)/7</f>
        <v>-12.857142857142858</v>
      </c>
      <c r="O4" s="125" t="str">
        <f ca="1">IF((K4-TODAY())/7&gt;=L4/4,"En tiempo","Alerta")</f>
        <v>Alerta</v>
      </c>
      <c r="P4" s="109">
        <v>2</v>
      </c>
      <c r="Q4" s="118">
        <f>IF(P4/I4=1,1,+P4/I4)</f>
        <v>0.66666666666666663</v>
      </c>
      <c r="R4" s="113"/>
      <c r="S4" s="113"/>
      <c r="T4" s="113"/>
      <c r="U4" s="119" t="str">
        <f>IF(M4&lt;=K4,"Cumple","Incumple")</f>
        <v>Cumple</v>
      </c>
      <c r="V4" s="139" t="s">
        <v>2667</v>
      </c>
      <c r="W4" s="139" t="s">
        <v>2668</v>
      </c>
      <c r="X4" s="113"/>
      <c r="Y4" s="588" t="s">
        <v>2669</v>
      </c>
    </row>
    <row r="5" spans="1:25" s="97" customFormat="1" ht="175.5" customHeight="1" x14ac:dyDescent="0.2">
      <c r="A5" s="272">
        <v>1</v>
      </c>
      <c r="B5" s="461" t="s">
        <v>2155</v>
      </c>
      <c r="C5" s="461" t="s">
        <v>2661</v>
      </c>
      <c r="D5" s="316" t="s">
        <v>2670</v>
      </c>
      <c r="E5" s="317" t="s">
        <v>2671</v>
      </c>
      <c r="F5" s="317" t="s">
        <v>2672</v>
      </c>
      <c r="G5" s="464" t="s">
        <v>2673</v>
      </c>
      <c r="H5" s="317" t="s">
        <v>2674</v>
      </c>
      <c r="I5" s="316">
        <v>1</v>
      </c>
      <c r="J5" s="835">
        <v>45482</v>
      </c>
      <c r="K5" s="832">
        <v>45838</v>
      </c>
      <c r="L5" s="833">
        <f>(K5-J5)/7</f>
        <v>50.857142857142854</v>
      </c>
      <c r="M5" s="834">
        <v>45657</v>
      </c>
      <c r="N5" s="467">
        <f t="shared" ref="N5:N24" si="1">(M5-K5)/7</f>
        <v>-25.857142857142858</v>
      </c>
      <c r="O5" s="125" t="str">
        <f t="shared" ref="O5:O24" ca="1" si="2">IF((K5-TODAY())/7&gt;=L5/4,"En tiempo","Alerta")</f>
        <v>Alerta</v>
      </c>
      <c r="P5" s="109">
        <v>0</v>
      </c>
      <c r="Q5" s="118">
        <f>IF(P5/I5=1,1,+P5/I5)</f>
        <v>0</v>
      </c>
      <c r="R5" s="113"/>
      <c r="S5" s="113"/>
      <c r="T5" s="113"/>
      <c r="U5" s="119" t="str">
        <f>IF(M5&lt;=K5,"Cumple","Incumple")</f>
        <v>Cumple</v>
      </c>
      <c r="V5" s="139" t="s">
        <v>2675</v>
      </c>
      <c r="W5" s="139" t="s">
        <v>2676</v>
      </c>
      <c r="X5" s="113"/>
      <c r="Y5" s="589" t="s">
        <v>2677</v>
      </c>
    </row>
    <row r="6" spans="1:25" s="97" customFormat="1" ht="231.75" customHeight="1" x14ac:dyDescent="0.2">
      <c r="A6" s="481">
        <v>1</v>
      </c>
      <c r="B6" s="461" t="s">
        <v>2155</v>
      </c>
      <c r="C6" s="461" t="s">
        <v>2661</v>
      </c>
      <c r="D6" s="316" t="s">
        <v>2670</v>
      </c>
      <c r="E6" s="317" t="s">
        <v>2671</v>
      </c>
      <c r="F6" s="317" t="s">
        <v>2672</v>
      </c>
      <c r="G6" s="464" t="s">
        <v>2678</v>
      </c>
      <c r="H6" s="317" t="s">
        <v>2679</v>
      </c>
      <c r="I6" s="316">
        <v>100</v>
      </c>
      <c r="J6" s="835">
        <v>45482</v>
      </c>
      <c r="K6" s="832">
        <v>45961</v>
      </c>
      <c r="L6" s="833">
        <f t="shared" si="0"/>
        <v>68.428571428571431</v>
      </c>
      <c r="M6" s="834">
        <v>45657</v>
      </c>
      <c r="N6" s="467">
        <f t="shared" si="1"/>
        <v>-43.428571428571431</v>
      </c>
      <c r="O6" s="125" t="str">
        <f t="shared" ca="1" si="2"/>
        <v>En tiempo</v>
      </c>
      <c r="P6" s="109">
        <v>0</v>
      </c>
      <c r="Q6" s="118">
        <f t="shared" ref="Q6:Q24" si="3">IF(P6/I6=1,1,+P6/I6)</f>
        <v>0</v>
      </c>
      <c r="R6" s="113"/>
      <c r="S6" s="113"/>
      <c r="T6" s="113"/>
      <c r="U6" s="119" t="str">
        <f t="shared" ref="U6:U24" si="4">IF(M6&lt;=K6,"Cumple","Incumple")</f>
        <v>Cumple</v>
      </c>
      <c r="V6" s="139" t="s">
        <v>2680</v>
      </c>
      <c r="W6" s="139" t="s">
        <v>2681</v>
      </c>
      <c r="X6" s="113"/>
      <c r="Y6" s="589" t="s">
        <v>2682</v>
      </c>
    </row>
    <row r="7" spans="1:25" s="841" customFormat="1" ht="250.5" customHeight="1" x14ac:dyDescent="0.2">
      <c r="A7" s="836">
        <v>1</v>
      </c>
      <c r="B7" s="270" t="s">
        <v>2155</v>
      </c>
      <c r="C7" s="270" t="s">
        <v>2661</v>
      </c>
      <c r="D7" s="837" t="s">
        <v>2683</v>
      </c>
      <c r="E7" s="464" t="s">
        <v>2684</v>
      </c>
      <c r="F7" s="464" t="s">
        <v>2685</v>
      </c>
      <c r="G7" s="464" t="s">
        <v>2686</v>
      </c>
      <c r="H7" s="464" t="s">
        <v>2687</v>
      </c>
      <c r="I7" s="837">
        <v>1</v>
      </c>
      <c r="J7" s="838">
        <v>45482</v>
      </c>
      <c r="K7" s="838">
        <v>45513</v>
      </c>
      <c r="L7" s="831">
        <f t="shared" si="0"/>
        <v>4.4285714285714288</v>
      </c>
      <c r="M7" s="817">
        <v>45656</v>
      </c>
      <c r="N7" s="467">
        <f t="shared" si="1"/>
        <v>20.428571428571427</v>
      </c>
      <c r="O7" s="125" t="str">
        <f t="shared" ca="1" si="2"/>
        <v>Alerta</v>
      </c>
      <c r="P7" s="139">
        <v>1</v>
      </c>
      <c r="Q7" s="839">
        <f t="shared" si="3"/>
        <v>1</v>
      </c>
      <c r="R7" s="643"/>
      <c r="S7" s="643"/>
      <c r="T7" s="643"/>
      <c r="U7" s="840" t="str">
        <f t="shared" si="4"/>
        <v>Incumple</v>
      </c>
      <c r="V7" s="139" t="s">
        <v>2688</v>
      </c>
      <c r="W7" s="734" t="s">
        <v>2689</v>
      </c>
      <c r="X7" s="643"/>
      <c r="Y7" s="590" t="s">
        <v>2690</v>
      </c>
    </row>
    <row r="8" spans="1:25" s="841" customFormat="1" ht="267.75" customHeight="1" x14ac:dyDescent="0.2">
      <c r="A8" s="836">
        <v>1</v>
      </c>
      <c r="B8" s="270" t="s">
        <v>2155</v>
      </c>
      <c r="C8" s="270" t="s">
        <v>2661</v>
      </c>
      <c r="D8" s="837" t="s">
        <v>2683</v>
      </c>
      <c r="E8" s="464" t="s">
        <v>2684</v>
      </c>
      <c r="F8" s="464" t="s">
        <v>2691</v>
      </c>
      <c r="G8" s="464" t="s">
        <v>2692</v>
      </c>
      <c r="H8" s="464" t="s">
        <v>2693</v>
      </c>
      <c r="I8" s="837">
        <v>100</v>
      </c>
      <c r="J8" s="838">
        <v>45482</v>
      </c>
      <c r="K8" s="843">
        <v>45846</v>
      </c>
      <c r="L8" s="831">
        <f t="shared" si="0"/>
        <v>52</v>
      </c>
      <c r="M8" s="817">
        <v>45656</v>
      </c>
      <c r="N8" s="467">
        <f t="shared" si="1"/>
        <v>-27.142857142857142</v>
      </c>
      <c r="O8" s="125" t="str">
        <f t="shared" ca="1" si="2"/>
        <v>Alerta</v>
      </c>
      <c r="P8" s="139">
        <v>100</v>
      </c>
      <c r="Q8" s="839">
        <f t="shared" si="3"/>
        <v>1</v>
      </c>
      <c r="R8" s="643"/>
      <c r="S8" s="643"/>
      <c r="T8" s="643"/>
      <c r="U8" s="840" t="str">
        <f t="shared" si="4"/>
        <v>Cumple</v>
      </c>
      <c r="V8" s="139" t="s">
        <v>2694</v>
      </c>
      <c r="W8" s="139" t="s">
        <v>2695</v>
      </c>
      <c r="X8" s="643"/>
      <c r="Y8" s="590" t="s">
        <v>2696</v>
      </c>
    </row>
    <row r="9" spans="1:25" s="841" customFormat="1" ht="228.75" customHeight="1" x14ac:dyDescent="0.2">
      <c r="A9" s="836">
        <v>2</v>
      </c>
      <c r="B9" s="270" t="s">
        <v>2155</v>
      </c>
      <c r="C9" s="270" t="s">
        <v>2661</v>
      </c>
      <c r="D9" s="837" t="s">
        <v>2683</v>
      </c>
      <c r="E9" s="464" t="s">
        <v>2684</v>
      </c>
      <c r="F9" s="464" t="s">
        <v>2691</v>
      </c>
      <c r="G9" s="464" t="s">
        <v>2697</v>
      </c>
      <c r="H9" s="464" t="s">
        <v>2698</v>
      </c>
      <c r="I9" s="837">
        <v>100</v>
      </c>
      <c r="J9" s="838">
        <v>45482</v>
      </c>
      <c r="K9" s="817">
        <v>45846</v>
      </c>
      <c r="L9" s="831">
        <f t="shared" si="0"/>
        <v>52</v>
      </c>
      <c r="M9" s="817">
        <v>45657</v>
      </c>
      <c r="N9" s="467">
        <f t="shared" si="1"/>
        <v>-27</v>
      </c>
      <c r="O9" s="125" t="str">
        <f t="shared" ca="1" si="2"/>
        <v>Alerta</v>
      </c>
      <c r="P9" s="139">
        <v>0</v>
      </c>
      <c r="Q9" s="839">
        <f t="shared" si="3"/>
        <v>0</v>
      </c>
      <c r="R9" s="643"/>
      <c r="S9" s="643"/>
      <c r="T9" s="643"/>
      <c r="U9" s="840" t="str">
        <f t="shared" si="4"/>
        <v>Cumple</v>
      </c>
      <c r="V9" s="139" t="s">
        <v>2699</v>
      </c>
      <c r="W9" s="139" t="s">
        <v>2700</v>
      </c>
      <c r="X9" s="643"/>
      <c r="Y9" s="590" t="s">
        <v>2701</v>
      </c>
    </row>
    <row r="10" spans="1:25" s="841" customFormat="1" ht="225" customHeight="1" x14ac:dyDescent="0.2">
      <c r="A10" s="836">
        <v>2</v>
      </c>
      <c r="B10" s="270" t="s">
        <v>2155</v>
      </c>
      <c r="C10" s="270" t="s">
        <v>2661</v>
      </c>
      <c r="D10" s="837" t="s">
        <v>2702</v>
      </c>
      <c r="E10" s="464" t="s">
        <v>2703</v>
      </c>
      <c r="F10" s="464" t="s">
        <v>2704</v>
      </c>
      <c r="G10" s="464" t="s">
        <v>2705</v>
      </c>
      <c r="H10" s="842" t="s">
        <v>2706</v>
      </c>
      <c r="I10" s="837">
        <v>2</v>
      </c>
      <c r="J10" s="838">
        <v>45482</v>
      </c>
      <c r="K10" s="838">
        <v>45846</v>
      </c>
      <c r="L10" s="831">
        <f t="shared" si="0"/>
        <v>52</v>
      </c>
      <c r="M10" s="817">
        <v>45656</v>
      </c>
      <c r="N10" s="467">
        <f t="shared" si="1"/>
        <v>-27.142857142857142</v>
      </c>
      <c r="O10" s="125" t="str">
        <f t="shared" ca="1" si="2"/>
        <v>Alerta</v>
      </c>
      <c r="P10" s="139">
        <v>1</v>
      </c>
      <c r="Q10" s="839">
        <f t="shared" si="3"/>
        <v>0.5</v>
      </c>
      <c r="R10" s="643"/>
      <c r="S10" s="643"/>
      <c r="T10" s="643"/>
      <c r="U10" s="840" t="str">
        <f>IF(M10&lt;=K10,"Cumple","Incumple")</f>
        <v>Cumple</v>
      </c>
      <c r="V10" s="139" t="s">
        <v>2707</v>
      </c>
      <c r="W10" s="139" t="s">
        <v>2708</v>
      </c>
      <c r="X10" s="643"/>
      <c r="Y10" s="590" t="s">
        <v>2709</v>
      </c>
    </row>
    <row r="11" spans="1:25" s="841" customFormat="1" ht="165.75" customHeight="1" x14ac:dyDescent="0.2">
      <c r="A11" s="836">
        <v>2</v>
      </c>
      <c r="B11" s="270" t="s">
        <v>2155</v>
      </c>
      <c r="C11" s="270" t="s">
        <v>2661</v>
      </c>
      <c r="D11" s="837" t="s">
        <v>2710</v>
      </c>
      <c r="E11" s="464" t="s">
        <v>2711</v>
      </c>
      <c r="F11" s="464" t="s">
        <v>2712</v>
      </c>
      <c r="G11" s="464" t="s">
        <v>2713</v>
      </c>
      <c r="H11" s="464" t="s">
        <v>2714</v>
      </c>
      <c r="I11" s="837">
        <v>100</v>
      </c>
      <c r="J11" s="838">
        <v>45482</v>
      </c>
      <c r="K11" s="844">
        <v>45657</v>
      </c>
      <c r="L11" s="831">
        <f t="shared" si="0"/>
        <v>25</v>
      </c>
      <c r="M11" s="817">
        <v>45656</v>
      </c>
      <c r="N11" s="467">
        <f t="shared" si="1"/>
        <v>-0.14285714285714285</v>
      </c>
      <c r="O11" s="125" t="str">
        <f t="shared" ca="1" si="2"/>
        <v>Alerta</v>
      </c>
      <c r="P11" s="831">
        <v>100</v>
      </c>
      <c r="Q11" s="839">
        <f t="shared" si="3"/>
        <v>1</v>
      </c>
      <c r="R11" s="643"/>
      <c r="S11" s="643"/>
      <c r="T11" s="643"/>
      <c r="U11" s="840" t="str">
        <f t="shared" si="4"/>
        <v>Cumple</v>
      </c>
      <c r="V11" s="139" t="s">
        <v>2715</v>
      </c>
      <c r="W11" s="139" t="s">
        <v>2716</v>
      </c>
      <c r="X11" s="643"/>
      <c r="Y11" s="590" t="s">
        <v>2717</v>
      </c>
    </row>
    <row r="12" spans="1:25" s="841" customFormat="1" ht="204" customHeight="1" x14ac:dyDescent="0.2">
      <c r="A12" s="836">
        <v>3</v>
      </c>
      <c r="B12" s="270" t="s">
        <v>2155</v>
      </c>
      <c r="C12" s="270" t="s">
        <v>2661</v>
      </c>
      <c r="D12" s="837" t="s">
        <v>2710</v>
      </c>
      <c r="E12" s="464" t="s">
        <v>2711</v>
      </c>
      <c r="F12" s="464" t="s">
        <v>2712</v>
      </c>
      <c r="G12" s="464" t="s">
        <v>2718</v>
      </c>
      <c r="H12" s="464" t="s">
        <v>2719</v>
      </c>
      <c r="I12" s="837">
        <v>100</v>
      </c>
      <c r="J12" s="838">
        <v>45482</v>
      </c>
      <c r="K12" s="844">
        <v>45657</v>
      </c>
      <c r="L12" s="831">
        <f t="shared" si="0"/>
        <v>25</v>
      </c>
      <c r="M12" s="817"/>
      <c r="N12" s="467">
        <f t="shared" si="1"/>
        <v>-6522.4285714285716</v>
      </c>
      <c r="O12" s="125" t="str">
        <f t="shared" ca="1" si="2"/>
        <v>Alerta</v>
      </c>
      <c r="P12" s="139">
        <v>100</v>
      </c>
      <c r="Q12" s="839">
        <f t="shared" si="3"/>
        <v>1</v>
      </c>
      <c r="R12" s="643"/>
      <c r="S12" s="643"/>
      <c r="T12" s="643"/>
      <c r="U12" s="840" t="str">
        <f t="shared" si="4"/>
        <v>Cumple</v>
      </c>
      <c r="V12" s="139" t="s">
        <v>2720</v>
      </c>
      <c r="W12" s="139" t="s">
        <v>2721</v>
      </c>
      <c r="X12" s="643"/>
      <c r="Y12" s="590" t="s">
        <v>2722</v>
      </c>
    </row>
    <row r="13" spans="1:25" s="841" customFormat="1" ht="191.25" customHeight="1" x14ac:dyDescent="0.2">
      <c r="A13" s="836">
        <v>3</v>
      </c>
      <c r="B13" s="270" t="s">
        <v>2155</v>
      </c>
      <c r="C13" s="270" t="s">
        <v>2661</v>
      </c>
      <c r="D13" s="837" t="s">
        <v>2723</v>
      </c>
      <c r="E13" s="464" t="s">
        <v>2711</v>
      </c>
      <c r="F13" s="464" t="s">
        <v>2712</v>
      </c>
      <c r="G13" s="464" t="s">
        <v>2724</v>
      </c>
      <c r="H13" s="464" t="s">
        <v>2725</v>
      </c>
      <c r="I13" s="837">
        <v>1</v>
      </c>
      <c r="J13" s="838">
        <v>45482</v>
      </c>
      <c r="K13" s="844">
        <v>45657</v>
      </c>
      <c r="L13" s="831">
        <f t="shared" si="0"/>
        <v>25</v>
      </c>
      <c r="M13" s="817">
        <v>45656</v>
      </c>
      <c r="N13" s="467">
        <f t="shared" si="1"/>
        <v>-0.14285714285714285</v>
      </c>
      <c r="O13" s="125" t="str">
        <f t="shared" ca="1" si="2"/>
        <v>Alerta</v>
      </c>
      <c r="P13" s="139">
        <v>1</v>
      </c>
      <c r="Q13" s="839">
        <f t="shared" si="3"/>
        <v>1</v>
      </c>
      <c r="R13" s="643"/>
      <c r="S13" s="643"/>
      <c r="T13" s="643"/>
      <c r="U13" s="840" t="str">
        <f>IF(M13&lt;=K13,"Cumple","Incumple")</f>
        <v>Cumple</v>
      </c>
      <c r="V13" s="139" t="s">
        <v>2726</v>
      </c>
      <c r="W13" s="139" t="s">
        <v>2727</v>
      </c>
      <c r="X13" s="643"/>
      <c r="Y13" s="590" t="s">
        <v>2728</v>
      </c>
    </row>
    <row r="14" spans="1:25" s="841" customFormat="1" ht="279.75" customHeight="1" x14ac:dyDescent="0.2">
      <c r="A14" s="836">
        <v>4</v>
      </c>
      <c r="B14" s="270" t="s">
        <v>2155</v>
      </c>
      <c r="C14" s="270" t="s">
        <v>2661</v>
      </c>
      <c r="D14" s="837" t="s">
        <v>2729</v>
      </c>
      <c r="E14" s="464" t="s">
        <v>2730</v>
      </c>
      <c r="F14" s="464" t="s">
        <v>2731</v>
      </c>
      <c r="G14" s="464" t="s">
        <v>2732</v>
      </c>
      <c r="H14" s="464" t="s">
        <v>2733</v>
      </c>
      <c r="I14" s="837">
        <v>1</v>
      </c>
      <c r="J14" s="838">
        <v>45482</v>
      </c>
      <c r="K14" s="844">
        <v>45657</v>
      </c>
      <c r="L14" s="831">
        <f t="shared" si="0"/>
        <v>25</v>
      </c>
      <c r="M14" s="817">
        <v>45656</v>
      </c>
      <c r="N14" s="467">
        <f t="shared" si="1"/>
        <v>-0.14285714285714285</v>
      </c>
      <c r="O14" s="125" t="str">
        <f t="shared" ca="1" si="2"/>
        <v>Alerta</v>
      </c>
      <c r="P14" s="139">
        <v>1</v>
      </c>
      <c r="Q14" s="839">
        <f t="shared" si="3"/>
        <v>1</v>
      </c>
      <c r="R14" s="643"/>
      <c r="S14" s="643"/>
      <c r="T14" s="643"/>
      <c r="U14" s="840" t="str">
        <f>IF(M14&lt;=K14,"Cumple","Incumple")</f>
        <v>Cumple</v>
      </c>
      <c r="V14" s="139" t="s">
        <v>2734</v>
      </c>
      <c r="W14" s="139" t="s">
        <v>2735</v>
      </c>
      <c r="X14" s="643"/>
      <c r="Y14" s="590" t="s">
        <v>2736</v>
      </c>
    </row>
    <row r="15" spans="1:25" s="97" customFormat="1" ht="240" customHeight="1" x14ac:dyDescent="0.2">
      <c r="A15" s="481">
        <v>4</v>
      </c>
      <c r="B15" s="461" t="s">
        <v>2155</v>
      </c>
      <c r="C15" s="461" t="s">
        <v>2661</v>
      </c>
      <c r="D15" s="316" t="s">
        <v>2729</v>
      </c>
      <c r="E15" s="317" t="s">
        <v>2730</v>
      </c>
      <c r="F15" s="317" t="s">
        <v>2731</v>
      </c>
      <c r="G15" s="464" t="s">
        <v>2737</v>
      </c>
      <c r="H15" s="317" t="s">
        <v>2738</v>
      </c>
      <c r="I15" s="316">
        <v>1</v>
      </c>
      <c r="J15" s="835">
        <v>45482</v>
      </c>
      <c r="K15" s="832">
        <v>45534</v>
      </c>
      <c r="L15" s="833">
        <f>(K15-J15)/7</f>
        <v>7.4285714285714288</v>
      </c>
      <c r="M15" s="834">
        <v>45545</v>
      </c>
      <c r="N15" s="467">
        <f t="shared" si="1"/>
        <v>1.5714285714285714</v>
      </c>
      <c r="O15" s="125" t="str">
        <f t="shared" ca="1" si="2"/>
        <v>Alerta</v>
      </c>
      <c r="P15" s="112">
        <v>1</v>
      </c>
      <c r="Q15" s="118">
        <f t="shared" si="3"/>
        <v>1</v>
      </c>
      <c r="R15" s="113"/>
      <c r="S15" s="113"/>
      <c r="T15" s="113"/>
      <c r="U15" s="119" t="str">
        <f>IF(M15&lt;=K15,"Cumple","Incumple")</f>
        <v>Incumple</v>
      </c>
      <c r="V15" s="139" t="s">
        <v>2739</v>
      </c>
      <c r="W15" s="139" t="s">
        <v>2740</v>
      </c>
      <c r="X15" s="113"/>
      <c r="Y15" s="590" t="s">
        <v>2741</v>
      </c>
    </row>
    <row r="16" spans="1:25" s="97" customFormat="1" ht="232.5" customHeight="1" x14ac:dyDescent="0.2">
      <c r="A16" s="481">
        <v>5</v>
      </c>
      <c r="B16" s="461" t="s">
        <v>2155</v>
      </c>
      <c r="C16" s="461" t="s">
        <v>2661</v>
      </c>
      <c r="D16" s="316" t="s">
        <v>2729</v>
      </c>
      <c r="E16" s="317" t="s">
        <v>2730</v>
      </c>
      <c r="F16" s="317" t="s">
        <v>2731</v>
      </c>
      <c r="G16" s="464" t="s">
        <v>2742</v>
      </c>
      <c r="H16" s="317" t="s">
        <v>2743</v>
      </c>
      <c r="I16" s="316">
        <v>100</v>
      </c>
      <c r="J16" s="835">
        <v>45482</v>
      </c>
      <c r="K16" s="835">
        <v>45846</v>
      </c>
      <c r="L16" s="833">
        <f t="shared" si="0"/>
        <v>52</v>
      </c>
      <c r="M16" s="834">
        <v>45657</v>
      </c>
      <c r="N16" s="467">
        <f t="shared" si="1"/>
        <v>-27</v>
      </c>
      <c r="O16" s="125" t="str">
        <f t="shared" ca="1" si="2"/>
        <v>Alerta</v>
      </c>
      <c r="P16" s="109">
        <v>50</v>
      </c>
      <c r="Q16" s="118">
        <f t="shared" si="3"/>
        <v>0.5</v>
      </c>
      <c r="R16" s="113"/>
      <c r="S16" s="113"/>
      <c r="T16" s="113"/>
      <c r="U16" s="119" t="str">
        <f>IF(M16&lt;=K16,"Cumple","Incumple")</f>
        <v>Cumple</v>
      </c>
      <c r="V16" s="139" t="s">
        <v>2744</v>
      </c>
      <c r="W16" s="139" t="s">
        <v>2745</v>
      </c>
      <c r="X16" s="113"/>
      <c r="Y16" s="590" t="s">
        <v>2746</v>
      </c>
    </row>
    <row r="17" spans="1:25" s="841" customFormat="1" ht="297" customHeight="1" x14ac:dyDescent="0.2">
      <c r="A17" s="836">
        <v>6</v>
      </c>
      <c r="B17" s="270" t="s">
        <v>2155</v>
      </c>
      <c r="C17" s="270" t="s">
        <v>2661</v>
      </c>
      <c r="D17" s="837" t="s">
        <v>2747</v>
      </c>
      <c r="E17" s="464" t="s">
        <v>2748</v>
      </c>
      <c r="F17" s="464" t="s">
        <v>2749</v>
      </c>
      <c r="G17" s="464" t="s">
        <v>2750</v>
      </c>
      <c r="H17" s="464" t="s">
        <v>2751</v>
      </c>
      <c r="I17" s="837">
        <v>1</v>
      </c>
      <c r="J17" s="838">
        <v>45482</v>
      </c>
      <c r="K17" s="844">
        <v>45657</v>
      </c>
      <c r="L17" s="831">
        <f t="shared" si="0"/>
        <v>25</v>
      </c>
      <c r="M17" s="817">
        <v>45656</v>
      </c>
      <c r="N17" s="467">
        <f t="shared" si="1"/>
        <v>-0.14285714285714285</v>
      </c>
      <c r="O17" s="125" t="str">
        <f t="shared" ca="1" si="2"/>
        <v>Alerta</v>
      </c>
      <c r="P17" s="139">
        <v>1</v>
      </c>
      <c r="Q17" s="839">
        <f t="shared" si="3"/>
        <v>1</v>
      </c>
      <c r="R17" s="643"/>
      <c r="S17" s="643"/>
      <c r="T17" s="643"/>
      <c r="U17" s="840" t="str">
        <f t="shared" si="4"/>
        <v>Cumple</v>
      </c>
      <c r="V17" s="139" t="s">
        <v>2752</v>
      </c>
      <c r="W17" s="139" t="s">
        <v>2753</v>
      </c>
      <c r="X17" s="643"/>
      <c r="Y17" s="590" t="s">
        <v>2754</v>
      </c>
    </row>
    <row r="18" spans="1:25" s="841" customFormat="1" ht="265.5" customHeight="1" x14ac:dyDescent="0.2">
      <c r="A18" s="836">
        <v>6</v>
      </c>
      <c r="B18" s="270" t="s">
        <v>2155</v>
      </c>
      <c r="C18" s="270" t="s">
        <v>2661</v>
      </c>
      <c r="D18" s="837" t="s">
        <v>2755</v>
      </c>
      <c r="E18" s="464" t="s">
        <v>2756</v>
      </c>
      <c r="F18" s="464" t="s">
        <v>2757</v>
      </c>
      <c r="G18" s="464" t="s">
        <v>2758</v>
      </c>
      <c r="H18" s="464" t="s">
        <v>2759</v>
      </c>
      <c r="I18" s="837">
        <v>1</v>
      </c>
      <c r="J18" s="838">
        <v>45482</v>
      </c>
      <c r="K18" s="838">
        <v>45513</v>
      </c>
      <c r="L18" s="831">
        <f t="shared" si="0"/>
        <v>4.4285714285714288</v>
      </c>
      <c r="M18" s="140">
        <v>45656</v>
      </c>
      <c r="N18" s="467">
        <f t="shared" si="1"/>
        <v>20.428571428571427</v>
      </c>
      <c r="O18" s="125" t="str">
        <f ca="1">IF((K18-TODAY())/7&gt;=L18/4,"En tiempo","Alerta")</f>
        <v>Alerta</v>
      </c>
      <c r="P18" s="139">
        <v>1</v>
      </c>
      <c r="Q18" s="839">
        <f t="shared" si="3"/>
        <v>1</v>
      </c>
      <c r="R18" s="643"/>
      <c r="S18" s="643"/>
      <c r="T18" s="643"/>
      <c r="U18" s="840" t="str">
        <f>IF(M18&lt;=K18,"Cumple","Incumple")</f>
        <v>Incumple</v>
      </c>
      <c r="V18" s="139" t="s">
        <v>2760</v>
      </c>
      <c r="W18" s="139" t="s">
        <v>2761</v>
      </c>
      <c r="X18" s="643"/>
      <c r="Y18" s="590" t="s">
        <v>2762</v>
      </c>
    </row>
    <row r="19" spans="1:25" s="841" customFormat="1" ht="216.75" customHeight="1" x14ac:dyDescent="0.2">
      <c r="A19" s="836">
        <v>6</v>
      </c>
      <c r="B19" s="270" t="s">
        <v>2155</v>
      </c>
      <c r="C19" s="270" t="s">
        <v>2661</v>
      </c>
      <c r="D19" s="837" t="s">
        <v>2755</v>
      </c>
      <c r="E19" s="464" t="s">
        <v>2756</v>
      </c>
      <c r="F19" s="464" t="s">
        <v>2757</v>
      </c>
      <c r="G19" s="464" t="s">
        <v>2763</v>
      </c>
      <c r="H19" s="464" t="s">
        <v>2764</v>
      </c>
      <c r="I19" s="837">
        <v>100</v>
      </c>
      <c r="J19" s="838">
        <v>45482</v>
      </c>
      <c r="K19" s="843">
        <v>45846</v>
      </c>
      <c r="L19" s="831">
        <f t="shared" si="0"/>
        <v>52</v>
      </c>
      <c r="M19" s="140">
        <v>45656</v>
      </c>
      <c r="N19" s="467">
        <f t="shared" si="1"/>
        <v>-27.142857142857142</v>
      </c>
      <c r="O19" s="125" t="str">
        <f t="shared" ca="1" si="2"/>
        <v>Alerta</v>
      </c>
      <c r="P19" s="139">
        <v>100</v>
      </c>
      <c r="Q19" s="839">
        <f t="shared" si="3"/>
        <v>1</v>
      </c>
      <c r="R19" s="643"/>
      <c r="S19" s="643"/>
      <c r="T19" s="643"/>
      <c r="U19" s="840" t="str">
        <f>IF(M19&lt;=K19,"Cumple","Incumple")</f>
        <v>Cumple</v>
      </c>
      <c r="V19" s="139" t="s">
        <v>2765</v>
      </c>
      <c r="W19" s="139" t="s">
        <v>3253</v>
      </c>
      <c r="X19" s="643"/>
      <c r="Y19" s="590" t="s">
        <v>2762</v>
      </c>
    </row>
    <row r="20" spans="1:25" s="841" customFormat="1" ht="205.5" customHeight="1" x14ac:dyDescent="0.2">
      <c r="A20" s="836">
        <v>6</v>
      </c>
      <c r="B20" s="270" t="s">
        <v>2155</v>
      </c>
      <c r="C20" s="270" t="s">
        <v>2661</v>
      </c>
      <c r="D20" s="837" t="s">
        <v>2766</v>
      </c>
      <c r="E20" s="464" t="s">
        <v>2767</v>
      </c>
      <c r="F20" s="464" t="s">
        <v>2768</v>
      </c>
      <c r="G20" s="464" t="s">
        <v>2769</v>
      </c>
      <c r="H20" s="464" t="s">
        <v>2770</v>
      </c>
      <c r="I20" s="837">
        <v>100</v>
      </c>
      <c r="J20" s="838">
        <v>45482</v>
      </c>
      <c r="K20" s="844">
        <v>45657</v>
      </c>
      <c r="L20" s="831">
        <f t="shared" si="0"/>
        <v>25</v>
      </c>
      <c r="M20" s="817">
        <v>45656</v>
      </c>
      <c r="N20" s="467">
        <f t="shared" si="1"/>
        <v>-0.14285714285714285</v>
      </c>
      <c r="O20" s="125" t="str">
        <f t="shared" ca="1" si="2"/>
        <v>Alerta</v>
      </c>
      <c r="P20" s="139">
        <v>100</v>
      </c>
      <c r="Q20" s="839">
        <f t="shared" si="3"/>
        <v>1</v>
      </c>
      <c r="R20" s="643"/>
      <c r="S20" s="643"/>
      <c r="T20" s="643"/>
      <c r="U20" s="840" t="str">
        <f t="shared" si="4"/>
        <v>Cumple</v>
      </c>
      <c r="V20" s="139" t="s">
        <v>2771</v>
      </c>
      <c r="W20" s="139" t="s">
        <v>2772</v>
      </c>
      <c r="X20" s="643"/>
      <c r="Y20" s="590" t="s">
        <v>2773</v>
      </c>
    </row>
    <row r="21" spans="1:25" s="841" customFormat="1" ht="161.25" customHeight="1" x14ac:dyDescent="0.2">
      <c r="A21" s="836">
        <v>7</v>
      </c>
      <c r="B21" s="270" t="s">
        <v>2155</v>
      </c>
      <c r="C21" s="270" t="s">
        <v>2661</v>
      </c>
      <c r="D21" s="837" t="s">
        <v>2774</v>
      </c>
      <c r="E21" s="464" t="s">
        <v>2775</v>
      </c>
      <c r="F21" s="464" t="s">
        <v>2776</v>
      </c>
      <c r="G21" s="464" t="s">
        <v>2777</v>
      </c>
      <c r="H21" s="464" t="s">
        <v>2778</v>
      </c>
      <c r="I21" s="837">
        <v>1</v>
      </c>
      <c r="J21" s="838">
        <v>45482</v>
      </c>
      <c r="K21" s="844">
        <v>45657</v>
      </c>
      <c r="L21" s="831">
        <f t="shared" si="0"/>
        <v>25</v>
      </c>
      <c r="M21" s="817">
        <v>45656</v>
      </c>
      <c r="N21" s="467">
        <f t="shared" si="1"/>
        <v>-0.14285714285714285</v>
      </c>
      <c r="O21" s="125" t="str">
        <f t="shared" ca="1" si="2"/>
        <v>Alerta</v>
      </c>
      <c r="P21" s="831">
        <v>1</v>
      </c>
      <c r="Q21" s="839">
        <f t="shared" si="3"/>
        <v>1</v>
      </c>
      <c r="R21" s="643"/>
      <c r="S21" s="643"/>
      <c r="T21" s="643"/>
      <c r="U21" s="840" t="str">
        <f t="shared" si="4"/>
        <v>Cumple</v>
      </c>
      <c r="V21" s="139" t="s">
        <v>2779</v>
      </c>
      <c r="W21" s="139" t="s">
        <v>2780</v>
      </c>
      <c r="X21" s="643"/>
      <c r="Y21" s="590" t="s">
        <v>2781</v>
      </c>
    </row>
    <row r="22" spans="1:25" s="841" customFormat="1" ht="156" customHeight="1" x14ac:dyDescent="0.2">
      <c r="A22" s="836">
        <v>7</v>
      </c>
      <c r="B22" s="270" t="s">
        <v>2155</v>
      </c>
      <c r="C22" s="270" t="s">
        <v>2661</v>
      </c>
      <c r="D22" s="837" t="s">
        <v>2782</v>
      </c>
      <c r="E22" s="464" t="s">
        <v>2783</v>
      </c>
      <c r="F22" s="464" t="s">
        <v>2784</v>
      </c>
      <c r="G22" s="464" t="s">
        <v>2785</v>
      </c>
      <c r="H22" s="464" t="s">
        <v>1676</v>
      </c>
      <c r="I22" s="837">
        <v>1</v>
      </c>
      <c r="J22" s="838">
        <v>45482</v>
      </c>
      <c r="K22" s="844">
        <v>45657</v>
      </c>
      <c r="L22" s="831">
        <f t="shared" si="0"/>
        <v>25</v>
      </c>
      <c r="M22" s="140">
        <v>45656</v>
      </c>
      <c r="N22" s="467">
        <f t="shared" si="1"/>
        <v>-0.14285714285714285</v>
      </c>
      <c r="O22" s="125" t="str">
        <f t="shared" ca="1" si="2"/>
        <v>Alerta</v>
      </c>
      <c r="P22" s="139">
        <v>1</v>
      </c>
      <c r="Q22" s="839">
        <f t="shared" si="3"/>
        <v>1</v>
      </c>
      <c r="R22" s="643"/>
      <c r="S22" s="643"/>
      <c r="T22" s="643"/>
      <c r="U22" s="840" t="str">
        <f t="shared" si="4"/>
        <v>Cumple</v>
      </c>
      <c r="V22" s="139" t="s">
        <v>2786</v>
      </c>
      <c r="W22" s="139" t="s">
        <v>2787</v>
      </c>
      <c r="X22" s="643"/>
      <c r="Y22" s="590" t="s">
        <v>2788</v>
      </c>
    </row>
    <row r="23" spans="1:25" s="841" customFormat="1" ht="177.75" customHeight="1" x14ac:dyDescent="0.2">
      <c r="A23" s="836">
        <v>7</v>
      </c>
      <c r="B23" s="270" t="s">
        <v>2155</v>
      </c>
      <c r="C23" s="270" t="s">
        <v>2661</v>
      </c>
      <c r="D23" s="837" t="s">
        <v>2789</v>
      </c>
      <c r="E23" s="464" t="s">
        <v>2790</v>
      </c>
      <c r="F23" s="464" t="s">
        <v>2791</v>
      </c>
      <c r="G23" s="464" t="s">
        <v>2792</v>
      </c>
      <c r="H23" s="464" t="s">
        <v>2793</v>
      </c>
      <c r="I23" s="837">
        <v>2</v>
      </c>
      <c r="J23" s="838">
        <v>45482</v>
      </c>
      <c r="K23" s="843">
        <v>45846</v>
      </c>
      <c r="L23" s="831">
        <f t="shared" si="0"/>
        <v>52</v>
      </c>
      <c r="M23" s="140">
        <v>45656</v>
      </c>
      <c r="N23" s="467">
        <f>(M23-K23)/7</f>
        <v>-27.142857142857142</v>
      </c>
      <c r="O23" s="125" t="str">
        <f t="shared" ca="1" si="2"/>
        <v>Alerta</v>
      </c>
      <c r="P23" s="139">
        <v>2</v>
      </c>
      <c r="Q23" s="839">
        <f t="shared" si="3"/>
        <v>1</v>
      </c>
      <c r="R23" s="643"/>
      <c r="S23" s="643"/>
      <c r="T23" s="643"/>
      <c r="U23" s="840" t="str">
        <f t="shared" si="4"/>
        <v>Cumple</v>
      </c>
      <c r="V23" s="139" t="s">
        <v>2794</v>
      </c>
      <c r="W23" s="139" t="s">
        <v>2795</v>
      </c>
      <c r="X23" s="643"/>
      <c r="Y23" s="590" t="s">
        <v>2796</v>
      </c>
    </row>
    <row r="24" spans="1:25" s="841" customFormat="1" ht="249" customHeight="1" x14ac:dyDescent="0.2">
      <c r="A24" s="836">
        <v>8</v>
      </c>
      <c r="B24" s="270" t="s">
        <v>2155</v>
      </c>
      <c r="C24" s="270" t="s">
        <v>2661</v>
      </c>
      <c r="D24" s="837" t="s">
        <v>2797</v>
      </c>
      <c r="E24" s="464" t="s">
        <v>2798</v>
      </c>
      <c r="F24" s="464" t="s">
        <v>2791</v>
      </c>
      <c r="G24" s="464" t="s">
        <v>2799</v>
      </c>
      <c r="H24" s="464" t="s">
        <v>2800</v>
      </c>
      <c r="I24" s="837">
        <v>100</v>
      </c>
      <c r="J24" s="838">
        <v>45482</v>
      </c>
      <c r="K24" s="838">
        <v>45846</v>
      </c>
      <c r="L24" s="831">
        <f t="shared" si="0"/>
        <v>52</v>
      </c>
      <c r="M24" s="140">
        <v>45656</v>
      </c>
      <c r="N24" s="467">
        <f t="shared" si="1"/>
        <v>-27.142857142857142</v>
      </c>
      <c r="O24" s="125" t="str">
        <f t="shared" ca="1" si="2"/>
        <v>Alerta</v>
      </c>
      <c r="P24" s="139"/>
      <c r="Q24" s="839">
        <f t="shared" si="3"/>
        <v>0</v>
      </c>
      <c r="R24" s="642"/>
      <c r="S24" s="642"/>
      <c r="T24" s="642"/>
      <c r="U24" s="840" t="str">
        <f t="shared" si="4"/>
        <v>Cumple</v>
      </c>
      <c r="V24" s="139" t="s">
        <v>2801</v>
      </c>
      <c r="W24" s="139" t="s">
        <v>2802</v>
      </c>
      <c r="X24" s="642"/>
      <c r="Y24" s="590" t="s">
        <v>2803</v>
      </c>
    </row>
    <row r="25" spans="1:25" ht="15" x14ac:dyDescent="0.2">
      <c r="Q25" s="660">
        <f>AVERAGE(Q4:Q24)</f>
        <v>0.74603174603174605</v>
      </c>
      <c r="U25" s="121">
        <f>(COUNTIF(U4:U24,"Cumple")*100%)/COUNTA(U4:U24)</f>
        <v>0.8571428571428571</v>
      </c>
      <c r="W25"/>
    </row>
  </sheetData>
  <autoFilter ref="A3:AA25" xr:uid="{199144E7-2D9B-440E-9EC3-FA62ED2A4796}"/>
  <mergeCells count="1">
    <mergeCell ref="A1:Y2"/>
  </mergeCells>
  <conditionalFormatting sqref="O4:O24">
    <cfRule type="containsText" dxfId="28" priority="6" operator="containsText" text="Alerta">
      <formula>NOT(ISERROR(SEARCH("Alerta",O4)))</formula>
    </cfRule>
    <cfRule type="containsText" dxfId="27" priority="7" operator="containsText" text="En tiempo">
      <formula>NOT(ISERROR(SEARCH("En tiempo",O4)))</formula>
    </cfRule>
  </conditionalFormatting>
  <conditionalFormatting sqref="Q1:Q24 Q26:Q1048576">
    <cfRule type="colorScale" priority="14">
      <colorScale>
        <cfvo type="min"/>
        <cfvo type="percentile" val="50"/>
        <cfvo type="max"/>
        <color rgb="FFF8696B"/>
        <color rgb="FFFFEB84"/>
        <color rgb="FF63BE7B"/>
      </colorScale>
    </cfRule>
  </conditionalFormatting>
  <conditionalFormatting sqref="Q3">
    <cfRule type="cellIs" dxfId="26" priority="19" stopIfTrue="1" operator="between">
      <formula>0.9</formula>
      <formula>1</formula>
    </cfRule>
    <cfRule type="cellIs" dxfId="25" priority="20" stopIfTrue="1" operator="between">
      <formula>0.5</formula>
      <formula>0.89</formula>
    </cfRule>
    <cfRule type="cellIs" dxfId="24" priority="21" stopIfTrue="1" operator="between">
      <formula>0.2</formula>
      <formula>0.49</formula>
    </cfRule>
    <cfRule type="cellIs" dxfId="23" priority="22" stopIfTrue="1" operator="between">
      <formula>0</formula>
      <formula>0.19</formula>
    </cfRule>
  </conditionalFormatting>
  <conditionalFormatting sqref="Q4:Q24">
    <cfRule type="cellIs" dxfId="22" priority="15" stopIfTrue="1" operator="between">
      <formula>0.8</formula>
      <formula>1</formula>
    </cfRule>
    <cfRule type="cellIs" dxfId="21" priority="16" stopIfTrue="1" operator="between">
      <formula>0.5</formula>
      <formula>0.79</formula>
    </cfRule>
    <cfRule type="cellIs" dxfId="20" priority="17" stopIfTrue="1" operator="between">
      <formula>0.3</formula>
      <formula>0.49</formula>
    </cfRule>
    <cfRule type="cellIs" dxfId="19" priority="18" stopIfTrue="1" operator="between">
      <formula>0</formula>
      <formula>0.29</formula>
    </cfRule>
  </conditionalFormatting>
  <conditionalFormatting sqref="Q25">
    <cfRule type="cellIs" dxfId="18" priority="1" operator="between">
      <formula>0.19</formula>
      <formula>0</formula>
    </cfRule>
    <cfRule type="cellIs" dxfId="17" priority="2" operator="between">
      <formula>0.49</formula>
      <formula>0.2</formula>
    </cfRule>
    <cfRule type="cellIs" dxfId="16" priority="3" operator="between">
      <formula>0.89</formula>
      <formula>0.5</formula>
    </cfRule>
    <cfRule type="cellIs" dxfId="15" priority="4" operator="between">
      <formula>1</formula>
      <formula>0.9</formula>
    </cfRule>
  </conditionalFormatting>
  <conditionalFormatting sqref="U4:U24">
    <cfRule type="containsText" dxfId="14" priority="12" operator="containsText" text="Incumple">
      <formula>NOT(ISERROR(SEARCH("Incumple",U4)))</formula>
    </cfRule>
    <cfRule type="containsText" dxfId="13" priority="13" operator="containsText" text="Cumple">
      <formula>NOT(ISERROR(SEARCH("Cumple",U4)))</formula>
    </cfRule>
  </conditionalFormatting>
  <conditionalFormatting sqref="U25">
    <cfRule type="cellIs" dxfId="12" priority="8" operator="between">
      <formula>0.19</formula>
      <formula>0</formula>
    </cfRule>
    <cfRule type="cellIs" dxfId="11" priority="9" operator="between">
      <formula>0.49</formula>
      <formula>0.2</formula>
    </cfRule>
    <cfRule type="cellIs" dxfId="10" priority="10" operator="between">
      <formula>0.89</formula>
      <formula>0.5</formula>
    </cfRule>
    <cfRule type="cellIs" dxfId="9" priority="11" operator="between">
      <formula>1</formula>
      <formula>0.9</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AF91"/>
  <sheetViews>
    <sheetView zoomScale="80" zoomScaleNormal="80" workbookViewId="0">
      <selection activeCell="S10" sqref="S10"/>
    </sheetView>
  </sheetViews>
  <sheetFormatPr baseColWidth="10" defaultColWidth="9.140625" defaultRowHeight="12.75" customHeight="1" x14ac:dyDescent="0.2"/>
  <cols>
    <col min="1" max="1" width="9.140625" customWidth="1"/>
    <col min="2" max="2" width="25.5703125" style="221" customWidth="1"/>
    <col min="3" max="3" width="18.42578125" customWidth="1"/>
    <col min="4" max="4" width="17" customWidth="1"/>
    <col min="5" max="5" width="13.5703125" customWidth="1"/>
    <col min="6" max="6" width="11" customWidth="1"/>
    <col min="7" max="7" width="12.42578125" customWidth="1"/>
    <col min="8" max="8" width="9.140625" customWidth="1"/>
    <col min="9" max="9" width="13.42578125" customWidth="1"/>
    <col min="10" max="10" width="10.7109375" customWidth="1"/>
    <col min="11" max="11" width="14.7109375" hidden="1" customWidth="1"/>
    <col min="12" max="15" width="9.140625" hidden="1" customWidth="1"/>
    <col min="16" max="17" width="9.140625" customWidth="1"/>
    <col min="18" max="18" width="25.28515625" customWidth="1"/>
    <col min="19" max="19" width="16.42578125" customWidth="1"/>
    <col min="20" max="20" width="16.42578125" hidden="1" customWidth="1"/>
    <col min="21" max="22" width="16.42578125" customWidth="1"/>
    <col min="23" max="23" width="25.140625" style="295" customWidth="1"/>
    <col min="24" max="24" width="35" customWidth="1"/>
    <col min="25" max="25" width="35.5703125" customWidth="1"/>
    <col min="26" max="26" width="35" customWidth="1"/>
    <col min="27" max="27" width="34.28515625" hidden="1" customWidth="1"/>
    <col min="28" max="28" width="11.28515625" customWidth="1"/>
  </cols>
  <sheetData>
    <row r="1" spans="1:32" ht="12.75" customHeight="1" x14ac:dyDescent="0.2">
      <c r="A1" s="1151" t="s">
        <v>2829</v>
      </c>
      <c r="B1" s="1162" t="s">
        <v>2830</v>
      </c>
      <c r="C1" s="1151" t="s">
        <v>2831</v>
      </c>
      <c r="D1" s="1157" t="s">
        <v>2832</v>
      </c>
      <c r="E1" s="1158"/>
      <c r="F1" s="1158"/>
      <c r="G1" s="1158"/>
      <c r="H1" s="1159"/>
      <c r="I1" s="1151" t="s">
        <v>2833</v>
      </c>
      <c r="J1" s="1151" t="s">
        <v>2834</v>
      </c>
      <c r="K1" s="318" t="s">
        <v>2835</v>
      </c>
      <c r="L1" s="318"/>
      <c r="M1" s="318"/>
      <c r="N1" s="318"/>
      <c r="O1" s="318"/>
      <c r="P1" s="318"/>
      <c r="Q1" s="645"/>
      <c r="R1" s="1157" t="s">
        <v>2836</v>
      </c>
      <c r="S1" s="1146" t="s">
        <v>2837</v>
      </c>
      <c r="T1" s="1146" t="s">
        <v>2838</v>
      </c>
      <c r="U1" s="1146" t="s">
        <v>2839</v>
      </c>
      <c r="V1" s="1146" t="s">
        <v>2840</v>
      </c>
      <c r="W1" s="1143" t="s">
        <v>2154</v>
      </c>
      <c r="X1" s="1142" t="s">
        <v>2841</v>
      </c>
      <c r="Y1" s="1142" t="s">
        <v>2842</v>
      </c>
      <c r="Z1" s="1139" t="s">
        <v>2843</v>
      </c>
      <c r="AA1" s="1140" t="s">
        <v>2844</v>
      </c>
    </row>
    <row r="2" spans="1:32" x14ac:dyDescent="0.2">
      <c r="A2" s="1151"/>
      <c r="B2" s="1162"/>
      <c r="C2" s="1151"/>
      <c r="D2" s="1160">
        <v>100</v>
      </c>
      <c r="E2" s="1160" t="s">
        <v>2845</v>
      </c>
      <c r="F2" s="1163" t="s">
        <v>2846</v>
      </c>
      <c r="G2" s="1149" t="s">
        <v>2847</v>
      </c>
      <c r="H2" s="1150" t="s">
        <v>2848</v>
      </c>
      <c r="I2" s="1151"/>
      <c r="J2" s="1151"/>
      <c r="K2" s="1147" t="s">
        <v>2849</v>
      </c>
      <c r="L2" s="1147">
        <v>44742</v>
      </c>
      <c r="M2" s="1147" t="s">
        <v>2850</v>
      </c>
      <c r="N2" s="1147">
        <v>45100</v>
      </c>
      <c r="O2" s="1152" t="s">
        <v>2851</v>
      </c>
      <c r="P2" s="1147">
        <v>45467</v>
      </c>
      <c r="Q2" s="1152">
        <v>45657</v>
      </c>
      <c r="R2" s="1157"/>
      <c r="S2" s="1146"/>
      <c r="T2" s="1146"/>
      <c r="U2" s="1146"/>
      <c r="V2" s="1146"/>
      <c r="W2" s="1143"/>
      <c r="X2" s="1142"/>
      <c r="Y2" s="1142"/>
      <c r="Z2" s="1140"/>
      <c r="AA2" s="1140"/>
    </row>
    <row r="3" spans="1:32" ht="30.75" customHeight="1" x14ac:dyDescent="0.2">
      <c r="A3" s="1151"/>
      <c r="B3" s="1162"/>
      <c r="C3" s="1151"/>
      <c r="D3" s="1161"/>
      <c r="E3" s="1161"/>
      <c r="F3" s="1164"/>
      <c r="G3" s="1149"/>
      <c r="H3" s="1150"/>
      <c r="I3" s="1151"/>
      <c r="J3" s="1151"/>
      <c r="K3" s="1148"/>
      <c r="L3" s="1148"/>
      <c r="M3" s="1148"/>
      <c r="N3" s="1148"/>
      <c r="O3" s="1153"/>
      <c r="P3" s="1147"/>
      <c r="Q3" s="1153"/>
      <c r="R3" s="1157"/>
      <c r="S3" s="1146"/>
      <c r="T3" s="1146"/>
      <c r="U3" s="1146"/>
      <c r="V3" s="1146"/>
      <c r="W3" s="1144"/>
      <c r="X3" s="1142"/>
      <c r="Y3" s="1142"/>
      <c r="Z3" s="1141"/>
      <c r="AA3" s="1141"/>
    </row>
    <row r="4" spans="1:32" ht="69.75" customHeight="1" x14ac:dyDescent="0.2">
      <c r="A4" s="103">
        <v>1</v>
      </c>
      <c r="B4" s="248" t="s">
        <v>2806</v>
      </c>
      <c r="C4" s="103" t="s">
        <v>1856</v>
      </c>
      <c r="D4" s="103">
        <f>COUNTIF(POSGRADOS!U7:U25,"=100%")</f>
        <v>11</v>
      </c>
      <c r="E4" s="107">
        <f>COUNTIF(POSGRADOS!U7:U25,"&gt;=80%")</f>
        <v>16</v>
      </c>
      <c r="F4" s="107">
        <f>(COUNTIF(POSGRADOS!U7:U25,"&gt;=50%"))-E4</f>
        <v>0</v>
      </c>
      <c r="G4" s="103">
        <f>(COUNTIF(POSGRADOS!U7:U25,"&gt;=30%"))-(SUM(E4:F4))</f>
        <v>0</v>
      </c>
      <c r="H4" s="103">
        <f>COUNTIF(POSGRADOS!U7:U25,"&lt;30%")</f>
        <v>0</v>
      </c>
      <c r="I4" s="319">
        <f>COUNTIF(POSGRADOS!W7:W25,"INCUMPLE")</f>
        <v>10</v>
      </c>
      <c r="J4" s="689">
        <f t="shared" ref="J4:J21" si="0">SUM(E4,F4,G4,H4)</f>
        <v>16</v>
      </c>
      <c r="K4" s="690">
        <v>0.52</v>
      </c>
      <c r="L4" s="690">
        <v>0.77</v>
      </c>
      <c r="M4" s="691">
        <v>0.65</v>
      </c>
      <c r="N4" s="691">
        <v>0.71052631578947367</v>
      </c>
      <c r="O4" s="692">
        <v>0.71</v>
      </c>
      <c r="P4" s="690">
        <v>0.94</v>
      </c>
      <c r="Q4" s="693">
        <f>POSGRADOS!U26</f>
        <v>0.96250000000000002</v>
      </c>
      <c r="R4" s="280">
        <f>COUNTIF(POSGRADOS!U7:U25,"&lt;100%")</f>
        <v>5</v>
      </c>
      <c r="S4" s="320">
        <f>COUNTIF(POSGRADOS!U7:U25,"=100%")</f>
        <v>11</v>
      </c>
      <c r="T4" s="320"/>
      <c r="U4" s="694"/>
      <c r="V4" s="665"/>
      <c r="W4" s="647" t="s">
        <v>3255</v>
      </c>
      <c r="X4" s="699" t="s">
        <v>2852</v>
      </c>
      <c r="Y4" s="700"/>
      <c r="Z4" s="701" t="s">
        <v>2853</v>
      </c>
      <c r="AA4" s="700"/>
    </row>
    <row r="5" spans="1:32" ht="34.5" customHeight="1" x14ac:dyDescent="0.2">
      <c r="A5" s="103">
        <v>2</v>
      </c>
      <c r="B5" s="246" t="s">
        <v>2854</v>
      </c>
      <c r="C5" s="103" t="s">
        <v>2807</v>
      </c>
      <c r="D5" s="103">
        <f>COUNTIF('TALENTO HUMANO UNISALUD'!U7:U29,"=100%")</f>
        <v>4</v>
      </c>
      <c r="E5" s="103">
        <f>COUNTIF('TALENTO HUMANO UNISALUD'!U7:U29,"&gt;=80%")</f>
        <v>17</v>
      </c>
      <c r="F5" s="103">
        <f>(COUNTIF('TALENTO HUMANO UNISALUD'!U7:U29,"&gt;=50%"))-E5</f>
        <v>0</v>
      </c>
      <c r="G5" s="103">
        <f>(COUNTIF('TALENTO HUMANO UNISALUD'!U7:U29,"&gt;=30%"))-(SUM(E5:F5))</f>
        <v>4</v>
      </c>
      <c r="H5" s="103">
        <f>COUNTIF('TALENTO HUMANO UNISALUD'!U7:U29,"&lt;30%")</f>
        <v>2</v>
      </c>
      <c r="I5" s="103">
        <f>COUNTIF('TALENTO HUMANO UNISALUD'!W7:W29,"INCUMPLE")</f>
        <v>20</v>
      </c>
      <c r="J5" s="695">
        <f t="shared" si="0"/>
        <v>23</v>
      </c>
      <c r="K5" s="690" t="s">
        <v>0</v>
      </c>
      <c r="L5" s="690">
        <v>0.25</v>
      </c>
      <c r="M5" s="691">
        <v>0.65</v>
      </c>
      <c r="N5" s="696">
        <v>0.65</v>
      </c>
      <c r="O5" s="692">
        <v>0.65</v>
      </c>
      <c r="P5" s="690">
        <v>0.68</v>
      </c>
      <c r="Q5" s="693">
        <f>'TALENTO HUMANO UNISALUD'!U30</f>
        <v>0.67826086956521758</v>
      </c>
      <c r="R5" s="280">
        <f>COUNTIF('TALENTO HUMANO UNISALUD'!U7:U29,"&lt;100%")</f>
        <v>19</v>
      </c>
      <c r="S5" s="320">
        <f>COUNTIF('TALENTO HUMANO UNISALUD'!T7:T29,"=100%")</f>
        <v>4</v>
      </c>
      <c r="T5" s="320"/>
      <c r="U5" s="320"/>
      <c r="V5" s="664"/>
      <c r="W5" s="1136" t="s">
        <v>608</v>
      </c>
      <c r="X5" s="702" t="s">
        <v>388</v>
      </c>
      <c r="Y5" s="699" t="s">
        <v>2855</v>
      </c>
      <c r="Z5" s="702"/>
      <c r="AA5" s="702"/>
    </row>
    <row r="6" spans="1:32" ht="38.25" customHeight="1" x14ac:dyDescent="0.2">
      <c r="A6" s="103">
        <v>3</v>
      </c>
      <c r="B6" s="246" t="s">
        <v>61</v>
      </c>
      <c r="C6" s="103" t="s">
        <v>2809</v>
      </c>
      <c r="D6" s="103">
        <f>COUNTIF('TALENTO HUMANO DIV.'!U7:U28,"=100%")</f>
        <v>14</v>
      </c>
      <c r="E6" s="103">
        <f>COUNTIF('TALENTO HUMANO DIV.'!U7:U28,"&gt;=80%")</f>
        <v>16</v>
      </c>
      <c r="F6" s="103">
        <f>(COUNTIF('TALENTO HUMANO DIV.'!U7:U28,"&gt;=50%"))-E6</f>
        <v>0</v>
      </c>
      <c r="G6" s="103">
        <f>(COUNTIF('TALENTO HUMANO DIV.'!U7:U28,"&gt;=30%"))-(SUM(E6:F6))</f>
        <v>2</v>
      </c>
      <c r="H6" s="103">
        <f>COUNTIF('TALENTO HUMANO DIV.'!U7:U28,"&lt;30%")</f>
        <v>1</v>
      </c>
      <c r="I6" s="103">
        <f>COUNTIF('TALENTO HUMANO DIV.'!W7:W28,"INCUMPLE")</f>
        <v>10</v>
      </c>
      <c r="J6" s="695">
        <f t="shared" si="0"/>
        <v>19</v>
      </c>
      <c r="K6" s="690">
        <v>0.4</v>
      </c>
      <c r="L6" s="690">
        <v>0.54</v>
      </c>
      <c r="M6" s="691">
        <v>0.65</v>
      </c>
      <c r="N6" s="696">
        <v>0.81228070175438594</v>
      </c>
      <c r="O6" s="692">
        <v>0.85</v>
      </c>
      <c r="P6" s="690">
        <v>0.85</v>
      </c>
      <c r="Q6" s="693">
        <f>'TALENTO HUMANO DIV.'!U29</f>
        <v>0.85964912280701766</v>
      </c>
      <c r="R6" s="280">
        <f>COUNTIF('TALENTO HUMANO DIV.'!U7:U28,"&lt;100%")</f>
        <v>5</v>
      </c>
      <c r="S6" s="320">
        <f>COUNTIF('TALENTO HUMANO DIV.'!U7:U28,"=100%")</f>
        <v>14</v>
      </c>
      <c r="T6" s="320">
        <f>COUNTIF('TALENTO HUMANO DIV.'!U7:U28,"&lt;90%")</f>
        <v>4</v>
      </c>
      <c r="U6" s="320">
        <f>COUNTIFS('TALENTO HUMANO DIV.'!U7:U28,"&lt;100%",'TALENTO HUMANO DIV.'!W7:W28,"Incumple")</f>
        <v>3</v>
      </c>
      <c r="V6" s="320">
        <f>COUNTIFS('TALENTO HUMANO DIV.'!U7:U28,"&gt;=90%",'TALENTO HUMANO DIV.'!W7:W28,"Cumple")</f>
        <v>7</v>
      </c>
      <c r="W6" s="1137"/>
      <c r="X6" s="699" t="s">
        <v>2856</v>
      </c>
      <c r="Y6" s="699" t="s">
        <v>2857</v>
      </c>
      <c r="Z6" s="703" t="s">
        <v>2858</v>
      </c>
      <c r="AA6" s="699"/>
    </row>
    <row r="7" spans="1:32" ht="38.25" customHeight="1" x14ac:dyDescent="0.2">
      <c r="A7" s="103">
        <v>4</v>
      </c>
      <c r="B7" s="246" t="s">
        <v>2810</v>
      </c>
      <c r="C7" s="103" t="s">
        <v>2808</v>
      </c>
      <c r="D7" s="103">
        <f>COUNTIF(SGSST!U7:U27,"=100%")</f>
        <v>8</v>
      </c>
      <c r="E7" s="103">
        <f>COUNTIF(SGSST!U7:U27,"&gt;=80%")</f>
        <v>16</v>
      </c>
      <c r="F7" s="103">
        <f>(COUNTIF(SGSST!U7:U27,"&gt;=50%"))-E7</f>
        <v>3</v>
      </c>
      <c r="G7" s="106">
        <f>(COUNTIF(SGSST!U7:U27,"&gt;=30%"))-(SUM(E7:F7))</f>
        <v>0</v>
      </c>
      <c r="H7" s="103">
        <f>COUNTIF(SGSST!U7:U27,"&lt;30%")</f>
        <v>2</v>
      </c>
      <c r="I7" s="103">
        <f>COUNTIF(SGSST!W7:W27,"INCUMPLE")</f>
        <v>6</v>
      </c>
      <c r="J7" s="695">
        <f t="shared" si="0"/>
        <v>21</v>
      </c>
      <c r="K7" s="690" t="s">
        <v>2827</v>
      </c>
      <c r="L7" s="690" t="s">
        <v>2827</v>
      </c>
      <c r="M7" s="691">
        <v>0</v>
      </c>
      <c r="N7" s="696">
        <v>0.35523809523809524</v>
      </c>
      <c r="O7" s="692">
        <v>0.48</v>
      </c>
      <c r="P7" s="690">
        <v>0.64</v>
      </c>
      <c r="Q7" s="693">
        <f>SGSST!U28</f>
        <v>0.78809523809523818</v>
      </c>
      <c r="R7" s="280">
        <f>COUNTIF(SGSST!U7:U27,"&lt;100%")</f>
        <v>13</v>
      </c>
      <c r="S7" s="320">
        <f>COUNTIF(SGSST!U7:U27,"=100%")</f>
        <v>8</v>
      </c>
      <c r="T7" s="320">
        <f>COUNTIF(SGSST!U7:U27,"&lt;90%")</f>
        <v>8</v>
      </c>
      <c r="U7" s="320">
        <f>COUNTIFS(SGSST!U7:U27,"&lt;100%",SGSST!W7:W27,"Incumple")</f>
        <v>1</v>
      </c>
      <c r="V7" s="320">
        <f>COUNTIFS(SGSST!U7:U27,"&gt;=90%",SGSST!W7:W27,"Cumple")</f>
        <v>7</v>
      </c>
      <c r="W7" s="1138"/>
      <c r="X7" s="699" t="s">
        <v>2859</v>
      </c>
      <c r="Y7" s="700" t="s">
        <v>2857</v>
      </c>
      <c r="Z7" s="704" t="s">
        <v>2860</v>
      </c>
      <c r="AA7" s="700"/>
      <c r="AB7" s="222"/>
    </row>
    <row r="8" spans="1:32" ht="31.5" customHeight="1" x14ac:dyDescent="0.2">
      <c r="A8" s="103">
        <v>5</v>
      </c>
      <c r="B8" s="246" t="s">
        <v>2812</v>
      </c>
      <c r="C8" s="103" t="s">
        <v>2811</v>
      </c>
      <c r="D8" s="103">
        <f>COUNTIF(CIC!U7:U19,"=100%")</f>
        <v>10</v>
      </c>
      <c r="E8" s="103">
        <f>COUNTIF(CIC!U7:U19,"&gt;=80%")</f>
        <v>12</v>
      </c>
      <c r="F8" s="103">
        <f>(COUNTIF(CIC!U7:U19,"&gt;=50%"))-E8</f>
        <v>0</v>
      </c>
      <c r="G8" s="103">
        <f>(COUNTIF(CIC!U7:U19,"&gt;=30%"))-(SUM(E8:F8))</f>
        <v>0</v>
      </c>
      <c r="H8" s="103">
        <f>COUNTIF(CIC!U7:U19,"&lt;30%")</f>
        <v>1</v>
      </c>
      <c r="I8" s="103">
        <f>COUNTIF(CIC!W7:W19,"INCUMPLE")</f>
        <v>6</v>
      </c>
      <c r="J8" s="695">
        <f t="shared" si="0"/>
        <v>13</v>
      </c>
      <c r="K8" s="690">
        <v>0.7</v>
      </c>
      <c r="L8" s="690">
        <v>0.78</v>
      </c>
      <c r="M8" s="691">
        <v>0.82</v>
      </c>
      <c r="N8" s="691">
        <v>0.83076923076923082</v>
      </c>
      <c r="O8" s="692">
        <v>0.89</v>
      </c>
      <c r="P8" s="690">
        <v>0.89</v>
      </c>
      <c r="Q8" s="693">
        <f>CIC!U20</f>
        <v>0.89230769230769247</v>
      </c>
      <c r="R8" s="280">
        <f>COUNTIF(CIC!U7:U19,"&lt;100%")</f>
        <v>3</v>
      </c>
      <c r="S8" s="320">
        <f>COUNTIF(CIC!U7:U19,"=100%")</f>
        <v>10</v>
      </c>
      <c r="T8" s="320"/>
      <c r="U8" s="320"/>
      <c r="V8" s="320"/>
      <c r="W8" s="647" t="s">
        <v>2861</v>
      </c>
      <c r="X8" s="705" t="s">
        <v>388</v>
      </c>
      <c r="Y8" s="706"/>
      <c r="Z8" s="706"/>
      <c r="AA8" s="706"/>
    </row>
    <row r="9" spans="1:32" ht="38.25" x14ac:dyDescent="0.2">
      <c r="A9" s="103">
        <v>6</v>
      </c>
      <c r="B9" s="246" t="s">
        <v>2813</v>
      </c>
      <c r="C9" s="103" t="s">
        <v>2862</v>
      </c>
      <c r="D9" s="103">
        <f>COUNTIF('MATRICULA FINANCIERA'!U7:U10,"=100%")</f>
        <v>3</v>
      </c>
      <c r="E9" s="103">
        <f>COUNTIF('MATRICULA FINANCIERA'!U7:U10,"&gt;=80%")</f>
        <v>3</v>
      </c>
      <c r="F9" s="107">
        <f>(COUNTIF('MATRICULA FINANCIERA'!U7:U10,"&gt;=50%"))-E9</f>
        <v>0</v>
      </c>
      <c r="G9" s="107">
        <f>(COUNTIF('MATRICULA FINANCIERA'!U7:U10,"&gt;=30%"))-(SUM(E9:F9))</f>
        <v>1</v>
      </c>
      <c r="H9" s="107">
        <f>COUNTIF('MATRICULA FINANCIERA'!U7:U10,"&lt;30%")</f>
        <v>0</v>
      </c>
      <c r="I9" s="107">
        <f>COUNTIF('MATRICULA FINANCIERA'!W7,"INCUMPLE")</f>
        <v>1</v>
      </c>
      <c r="J9" s="689">
        <f t="shared" si="0"/>
        <v>4</v>
      </c>
      <c r="K9" s="690">
        <v>0.27</v>
      </c>
      <c r="L9" s="690">
        <v>0.67</v>
      </c>
      <c r="M9" s="691">
        <v>0.7</v>
      </c>
      <c r="N9" s="696">
        <v>0.85</v>
      </c>
      <c r="O9" s="692">
        <v>0.85</v>
      </c>
      <c r="P9" s="690">
        <v>0.85</v>
      </c>
      <c r="Q9" s="693">
        <f>'MATRICULA FINANCIERA'!U12</f>
        <v>0.85</v>
      </c>
      <c r="R9" s="280">
        <f>COUNTIF('MATRICULA FINANCIERA'!U7:U11,"&lt;100%")</f>
        <v>1</v>
      </c>
      <c r="S9" s="320">
        <f>COUNTIF('MATRICULA FINANCIERA'!U7:U11,"=100%")</f>
        <v>3</v>
      </c>
      <c r="T9" s="320">
        <f>COUNTIF('MATRICULA FINANCIERA'!U7:U11,"&lt;90%")</f>
        <v>1</v>
      </c>
      <c r="U9" s="320">
        <f>COUNTIFS('MATRICULA FINANCIERA'!U7:U11,"&lt;100%",'MATRICULA FINANCIERA'!W7:W11,"Incumple")</f>
        <v>1</v>
      </c>
      <c r="V9" s="320">
        <f>COUNTIFS('MATRICULA FINANCIERA'!U7:U11,"&gt;=90%",'MATRICULA FINANCIERA'!W7:W11,"cumple")</f>
        <v>0</v>
      </c>
      <c r="W9" s="297" t="s">
        <v>2861</v>
      </c>
      <c r="X9" s="699" t="s">
        <v>2863</v>
      </c>
      <c r="Y9" s="702" t="s">
        <v>2864</v>
      </c>
      <c r="Z9" s="707"/>
      <c r="AA9" s="702"/>
      <c r="AB9" s="281" t="s">
        <v>2865</v>
      </c>
      <c r="AC9" s="100" t="s">
        <v>2866</v>
      </c>
      <c r="AD9" s="100" t="s">
        <v>2867</v>
      </c>
      <c r="AE9" s="101" t="s">
        <v>2868</v>
      </c>
    </row>
    <row r="10" spans="1:32" ht="30.75" customHeight="1" x14ac:dyDescent="0.2">
      <c r="A10" s="103">
        <v>7</v>
      </c>
      <c r="B10" s="246" t="s">
        <v>2869</v>
      </c>
      <c r="C10" s="103" t="s">
        <v>2811</v>
      </c>
      <c r="D10" s="103">
        <f>COUNTIF('LEGALIZACION AVANCES'!U7:U12,"=100%")</f>
        <v>2</v>
      </c>
      <c r="E10" s="103">
        <f>COUNTIF('LEGALIZACION AVANCES'!U7:U12,"&gt;=80%")</f>
        <v>4</v>
      </c>
      <c r="F10" s="103">
        <f>(COUNTIF('LEGALIZACION AVANCES'!U7:U12,"&gt;=50%"))-E10</f>
        <v>2</v>
      </c>
      <c r="G10" s="103">
        <f>(COUNTIF('LEGALIZACION AVANCES'!U7:U12,"&gt;=30%"))-(SUM(E10:F10))</f>
        <v>0</v>
      </c>
      <c r="H10" s="103">
        <f>COUNTIF('LEGALIZACION AVANCES'!U7:U12,"&lt;30%")</f>
        <v>0</v>
      </c>
      <c r="I10" s="103">
        <f>COUNTIF('LEGALIZACION AVANCES'!W7:W12,"INCUMPLE")</f>
        <v>4</v>
      </c>
      <c r="J10" s="695">
        <f t="shared" si="0"/>
        <v>6</v>
      </c>
      <c r="K10" s="690">
        <v>0.67</v>
      </c>
      <c r="L10" s="690">
        <v>0.7</v>
      </c>
      <c r="M10" s="691">
        <v>0.82</v>
      </c>
      <c r="N10" s="691">
        <v>0.82500000000000007</v>
      </c>
      <c r="O10" s="692">
        <v>0.83</v>
      </c>
      <c r="P10" s="690">
        <v>0.83</v>
      </c>
      <c r="Q10" s="693">
        <f>'LEGALIZACION AVANCES'!U13</f>
        <v>0.82500000000000007</v>
      </c>
      <c r="R10" s="280">
        <f>COUNTIF('LEGALIZACION AVANCES'!U7:U12,"&lt;100%")</f>
        <v>4</v>
      </c>
      <c r="S10" s="320">
        <f>COUNTIF('LEGALIZACION AVANCES'!U7:U12,"=100%")</f>
        <v>2</v>
      </c>
      <c r="T10" s="320">
        <f>COUNTIF('LEGALIZACION AVANCES'!U7:U12,"&lt;90%")</f>
        <v>3</v>
      </c>
      <c r="U10" s="320">
        <f>COUNTIFS('LEGALIZACION AVANCES'!U7:U12,"&lt;100%",'LEGALIZACION AVANCES'!W7:W12,"Incumple")</f>
        <v>3</v>
      </c>
      <c r="V10" s="320">
        <f>COUNTIFS('LEGALIZACION AVANCES'!U7:U12,"&gt;=90%",'LEGALIZACION AVANCES'!W7:W12,"cumple")</f>
        <v>1</v>
      </c>
      <c r="W10" s="297" t="s">
        <v>2861</v>
      </c>
      <c r="X10" s="703" t="s">
        <v>2870</v>
      </c>
      <c r="Y10" s="699" t="s">
        <v>2857</v>
      </c>
      <c r="Z10" s="708" t="s">
        <v>2871</v>
      </c>
      <c r="AA10" s="709"/>
      <c r="AB10" s="282" t="s">
        <v>2872</v>
      </c>
      <c r="AC10" s="102" t="s">
        <v>2873</v>
      </c>
      <c r="AD10" s="657">
        <f>COUNTIF(Q4:Q21, "&gt;=80%")</f>
        <v>9</v>
      </c>
      <c r="AE10" s="657">
        <f>COUNTIF(Q4:Q21, "&gt;=90%")</f>
        <v>4</v>
      </c>
    </row>
    <row r="11" spans="1:32" ht="36" customHeight="1" x14ac:dyDescent="0.2">
      <c r="A11" s="103">
        <v>8</v>
      </c>
      <c r="B11" s="246" t="s">
        <v>2874</v>
      </c>
      <c r="C11" s="103" t="s">
        <v>1095</v>
      </c>
      <c r="D11" s="103">
        <f>COUNTIF('BIENESTAR UNIVERSITARIO'!U7:U31,"=100%")</f>
        <v>17</v>
      </c>
      <c r="E11" s="103">
        <f>COUNTIF('BIENESTAR UNIVERSITARIO'!U7:U31,"&gt;=80%")</f>
        <v>19</v>
      </c>
      <c r="F11" s="103">
        <f>(COUNTIF('BIENESTAR UNIVERSITARIO'!U7:U31,"&gt;=50%"))-E11</f>
        <v>1</v>
      </c>
      <c r="G11" s="103">
        <f>(COUNTIF('BIENESTAR UNIVERSITARIO'!U7:U31,"&gt;=30%"))-(SUM(E11:F11))</f>
        <v>3</v>
      </c>
      <c r="H11" s="103">
        <f>COUNTIF('BIENESTAR UNIVERSITARIO'!U7:U31,"&lt;30%")</f>
        <v>2</v>
      </c>
      <c r="I11" s="103">
        <f>COUNTIF('BIENESTAR UNIVERSITARIO'!W7:W31,"INCUMPLE")</f>
        <v>23</v>
      </c>
      <c r="J11" s="695">
        <f t="shared" si="0"/>
        <v>25</v>
      </c>
      <c r="K11" s="690">
        <v>0.72</v>
      </c>
      <c r="L11" s="690">
        <v>0.72</v>
      </c>
      <c r="M11" s="691">
        <v>0.66</v>
      </c>
      <c r="N11" s="691">
        <v>0.74133333333333329</v>
      </c>
      <c r="O11" s="692">
        <v>0.78</v>
      </c>
      <c r="P11" s="690">
        <v>0.79</v>
      </c>
      <c r="Q11" s="693">
        <f>'BIENESTAR UNIVERSITARIO'!U32</f>
        <v>0.82199999999999984</v>
      </c>
      <c r="R11" s="280">
        <f>COUNTIF('BIENESTAR UNIVERSITARIO'!U7:U31,"&lt;100%")</f>
        <v>8</v>
      </c>
      <c r="S11" s="320">
        <f>COUNTIF('BIENESTAR UNIVERSITARIO'!U7:U31,"=100%")</f>
        <v>17</v>
      </c>
      <c r="T11" s="320">
        <f>COUNTIF('BIENESTAR UNIVERSITARIO'!U7:U31,"&lt;90%")</f>
        <v>8</v>
      </c>
      <c r="U11" s="320">
        <f>COUNTIFS('BIENESTAR UNIVERSITARIO'!U7:U31,"&lt;100%",'BIENESTAR UNIVERSITARIO'!W7:W31,"Incumple")</f>
        <v>8</v>
      </c>
      <c r="V11" s="320">
        <f>COUNTIFS('BIENESTAR UNIVERSITARIO'!U7:U31,"&gt;=90%",'BIENESTAR UNIVERSITARIO'!W7:W31,"cumple")</f>
        <v>2</v>
      </c>
      <c r="W11" s="297" t="s">
        <v>1096</v>
      </c>
      <c r="X11" s="1145" t="s">
        <v>2875</v>
      </c>
      <c r="Y11" s="712" t="s">
        <v>2876</v>
      </c>
      <c r="Z11" s="699" t="s">
        <v>2877</v>
      </c>
      <c r="AA11" s="699"/>
      <c r="AB11" s="651" t="s">
        <v>2828</v>
      </c>
      <c r="AC11" s="652" t="s">
        <v>2878</v>
      </c>
      <c r="AD11" s="656">
        <f>COUNTIF(Q4:Q21, "&gt;=50%")-(AD10)</f>
        <v>4</v>
      </c>
    </row>
    <row r="12" spans="1:32" ht="38.25" x14ac:dyDescent="0.2">
      <c r="A12" s="103">
        <v>9</v>
      </c>
      <c r="B12" s="247" t="s">
        <v>2879</v>
      </c>
      <c r="C12" s="108" t="s">
        <v>2818</v>
      </c>
      <c r="D12" s="103">
        <f>COUNTIF('RELIQUIDACION MATRICULA'!U7:U20,"=100%")</f>
        <v>4</v>
      </c>
      <c r="E12" s="103">
        <f>COUNTIF('RELIQUIDACION MATRICULA'!U7:U20,"&gt;=80%")</f>
        <v>5</v>
      </c>
      <c r="F12" s="103">
        <f>(COUNTIF('RELIQUIDACION MATRICULA'!U7:U20,"&gt;=50%"))-E12</f>
        <v>1</v>
      </c>
      <c r="G12" s="106">
        <f>(COUNTIF('RELIQUIDACION MATRICULA'!U7:U20,"&gt;=30%"))-(SUM(E12:F12))</f>
        <v>3</v>
      </c>
      <c r="H12" s="103">
        <f>COUNTIF('RELIQUIDACION MATRICULA'!U7:U20,"&lt;30%")</f>
        <v>5</v>
      </c>
      <c r="I12" s="103">
        <f>COUNTIF('RELIQUIDACION MATRICULA'!W7:W20,"INCUMPLE")</f>
        <v>12</v>
      </c>
      <c r="J12" s="695">
        <f t="shared" si="0"/>
        <v>14</v>
      </c>
      <c r="K12" s="690" t="s">
        <v>2827</v>
      </c>
      <c r="L12" s="690" t="s">
        <v>2827</v>
      </c>
      <c r="M12" s="691">
        <v>0</v>
      </c>
      <c r="N12" s="691">
        <v>0.20714285714285716</v>
      </c>
      <c r="O12" s="692">
        <v>0.44</v>
      </c>
      <c r="P12" s="690">
        <v>0.51</v>
      </c>
      <c r="Q12" s="693">
        <f>'RELIQUIDACION MATRICULA'!U21</f>
        <v>0.47499999999999998</v>
      </c>
      <c r="R12" s="280">
        <f>COUNTIF('RELIQUIDACION MATRICULA'!U7:U20,"&lt;100%")</f>
        <v>10</v>
      </c>
      <c r="S12" s="320">
        <f>COUNTIF('RELIQUIDACION MATRICULA'!U7:U20,"=100%")</f>
        <v>4</v>
      </c>
      <c r="T12" s="320">
        <f>COUNTIF('RELIQUIDACION MATRICULA'!U7:U20,"&lt;90%")</f>
        <v>9</v>
      </c>
      <c r="U12" s="320">
        <f>COUNTIFS('RELIQUIDACION MATRICULA'!U7:U20,"&lt;100%",'RELIQUIDACION MATRICULA'!W7:W20,"Incumple")</f>
        <v>10</v>
      </c>
      <c r="V12" s="320">
        <f>COUNTIFS('RELIQUIDACION MATRICULA'!U7:U20,"&gt;=90%",'RELIQUIDACION MATRICULA'!W7:W20,"cumple")</f>
        <v>2</v>
      </c>
      <c r="W12" s="297" t="s">
        <v>1096</v>
      </c>
      <c r="X12" s="1145"/>
      <c r="Y12" s="712" t="s">
        <v>2876</v>
      </c>
      <c r="Z12" s="699" t="s">
        <v>2877</v>
      </c>
      <c r="AA12" s="699"/>
      <c r="AB12" s="651" t="s">
        <v>2880</v>
      </c>
      <c r="AC12" s="652" t="s">
        <v>2881</v>
      </c>
      <c r="AD12" s="655">
        <f>COUNTIF(Q4:Q21, "&gt;=30%")-(AD10+AD11)</f>
        <v>3</v>
      </c>
    </row>
    <row r="13" spans="1:32" ht="51" x14ac:dyDescent="0.2">
      <c r="A13" s="103">
        <v>10</v>
      </c>
      <c r="B13" s="246" t="s">
        <v>2816</v>
      </c>
      <c r="C13" s="103" t="s">
        <v>198</v>
      </c>
      <c r="D13" s="103">
        <f>COUNTIF('GESTIÓN AMBIENTAL'!U7:U28,"=100%")</f>
        <v>20</v>
      </c>
      <c r="E13" s="103">
        <f>COUNTIF('GESTIÓN AMBIENTAL'!U7:U28,"&gt;=80%")</f>
        <v>22</v>
      </c>
      <c r="F13" s="103">
        <f>(COUNTIF('GESTIÓN AMBIENTAL'!U7:U28,"&gt;=50%"))-E13</f>
        <v>0</v>
      </c>
      <c r="G13" s="103">
        <f>(COUNTIF('GESTIÓN AMBIENTAL'!U7:U28,"&gt;=30%"))-(SUM(E13:F13))</f>
        <v>0</v>
      </c>
      <c r="H13" s="103">
        <f>COUNTIF('GESTIÓN AMBIENTAL'!U7:U28,"&lt;30%")</f>
        <v>0</v>
      </c>
      <c r="I13" s="103">
        <f>COUNTIF('GESTIÓN AMBIENTAL'!W16:W28,"INCUMPLE")</f>
        <v>9</v>
      </c>
      <c r="J13" s="695">
        <f t="shared" si="0"/>
        <v>22</v>
      </c>
      <c r="K13" s="690">
        <v>0.89</v>
      </c>
      <c r="L13" s="690">
        <v>0.93</v>
      </c>
      <c r="M13" s="691">
        <v>0.94</v>
      </c>
      <c r="N13" s="691">
        <v>0.94318181818181823</v>
      </c>
      <c r="O13" s="692">
        <v>0.95</v>
      </c>
      <c r="P13" s="690">
        <v>0.95</v>
      </c>
      <c r="Q13" s="693">
        <f>'GESTIÓN AMBIENTAL'!U29</f>
        <v>0.99090909090909096</v>
      </c>
      <c r="R13" s="280">
        <f>COUNTIF('GESTIÓN AMBIENTAL'!U7:U28,"&lt;100%")</f>
        <v>2</v>
      </c>
      <c r="S13" s="320">
        <f>COUNTIF('GESTIÓN AMBIENTAL'!U7:U28,"=100%")</f>
        <v>20</v>
      </c>
      <c r="T13" s="320"/>
      <c r="U13" s="320"/>
      <c r="V13" s="320"/>
      <c r="W13" s="297" t="s">
        <v>2882</v>
      </c>
      <c r="X13" s="702" t="s">
        <v>2883</v>
      </c>
      <c r="Y13" s="699"/>
      <c r="Z13" s="699" t="s">
        <v>2884</v>
      </c>
      <c r="AA13" s="709"/>
      <c r="AB13" s="651" t="s">
        <v>2885</v>
      </c>
      <c r="AC13" s="652" t="s">
        <v>2886</v>
      </c>
      <c r="AD13" s="653">
        <f>COUNTIF(Q4:Q21, "&lt;29%")</f>
        <v>2</v>
      </c>
      <c r="AF13" s="296"/>
    </row>
    <row r="14" spans="1:32" ht="51" customHeight="1" x14ac:dyDescent="0.2">
      <c r="A14" s="103">
        <v>11</v>
      </c>
      <c r="B14" s="247" t="s">
        <v>2819</v>
      </c>
      <c r="C14" s="108" t="s">
        <v>2818</v>
      </c>
      <c r="D14" s="103">
        <f>COUNTIF('REGISTRO DE NOTAS'!U7:U14,"=100%")</f>
        <v>1</v>
      </c>
      <c r="E14" s="103">
        <f>COUNTIF('REGISTRO DE NOTAS'!U7:U14,"&gt;=80%")</f>
        <v>1</v>
      </c>
      <c r="F14" s="103">
        <f>(COUNTIF('REGISTRO DE NOTAS'!U7:U14,"&gt;=50%"))-E14</f>
        <v>3</v>
      </c>
      <c r="G14" s="106">
        <f>(COUNTIF('REGISTRO DE NOTAS'!U7:U14,"&gt;=30%"))-(SUM(E14:F14))</f>
        <v>3</v>
      </c>
      <c r="H14" s="103">
        <f>COUNTIF('REGISTRO DE NOTAS'!U7:U14,"&lt;30%")</f>
        <v>1</v>
      </c>
      <c r="I14" s="103">
        <f>COUNTIF('REGISTRO DE NOTAS'!W7:W14,"INCUMPLE")</f>
        <v>7</v>
      </c>
      <c r="J14" s="695">
        <f t="shared" si="0"/>
        <v>8</v>
      </c>
      <c r="K14" s="690" t="s">
        <v>2827</v>
      </c>
      <c r="L14" s="690">
        <f>'REGISTRO DE NOTAS'!U15</f>
        <v>0.44958333333333333</v>
      </c>
      <c r="M14" s="691">
        <v>0.03</v>
      </c>
      <c r="N14" s="696">
        <v>0.33430555555555558</v>
      </c>
      <c r="O14" s="692">
        <v>0.33</v>
      </c>
      <c r="P14" s="690">
        <v>0.45</v>
      </c>
      <c r="Q14" s="693">
        <f>'REGISTRO DE NOTAS'!U15</f>
        <v>0.44958333333333333</v>
      </c>
      <c r="R14" s="280">
        <f>COUNTIF('REGISTRO DE NOTAS'!U7:U14,"&lt;100%")</f>
        <v>7</v>
      </c>
      <c r="S14" s="320">
        <f>COUNTIF('REGISTRO DE NOTAS'!U7:U14,"=100%")</f>
        <v>1</v>
      </c>
      <c r="T14" s="320">
        <f>COUNTIF('REGISTRO DE NOTAS'!U7:U14,"&lt;90%")</f>
        <v>7</v>
      </c>
      <c r="U14" s="320">
        <f>COUNTIFS('REGISTRO DE NOTAS'!U7:U14,"&lt;100%",'REGISTRO DE NOTAS'!W7:W14,"Incumple")</f>
        <v>7</v>
      </c>
      <c r="V14" s="320">
        <f>COUNTIFS('REGISTRO DE NOTAS'!U7:U14,"&gt;=90%",'REGISTRO DE NOTAS'!W7:W14,"cumple")</f>
        <v>1</v>
      </c>
      <c r="W14" s="297" t="s">
        <v>1096</v>
      </c>
      <c r="X14" s="699" t="s">
        <v>2887</v>
      </c>
      <c r="Y14" s="699" t="s">
        <v>2864</v>
      </c>
      <c r="Z14" s="708"/>
      <c r="AA14" s="699"/>
      <c r="AB14" s="1134" t="s">
        <v>2888</v>
      </c>
      <c r="AC14" s="1135"/>
      <c r="AD14" s="654">
        <f>SUM(AD10:AD13)</f>
        <v>18</v>
      </c>
    </row>
    <row r="15" spans="1:32" ht="25.5" customHeight="1" x14ac:dyDescent="0.2">
      <c r="A15" s="103">
        <v>12</v>
      </c>
      <c r="B15" s="246" t="s">
        <v>2820</v>
      </c>
      <c r="C15" s="103" t="s">
        <v>2889</v>
      </c>
      <c r="D15" s="103">
        <f>COUNTIF(TRANSPORTE!U7:U30,"=100%")</f>
        <v>21</v>
      </c>
      <c r="E15" s="103">
        <f>COUNTIF(TRANSPORTE!U7:U30,"&gt;=80%")</f>
        <v>23</v>
      </c>
      <c r="F15" s="103">
        <f>(COUNTIF(TRANSPORTE!U7:U30,"&gt;=50%"))-E15</f>
        <v>1</v>
      </c>
      <c r="G15" s="103">
        <f>(COUNTIF(TRANSPORTE!U7:U30,"&gt;=30%"))-(SUM(E15:F15))</f>
        <v>0</v>
      </c>
      <c r="H15" s="103">
        <f>COUNTIF(TRANSPORTE!U7:U30,"&lt;30%")</f>
        <v>0</v>
      </c>
      <c r="I15" s="103">
        <f>COUNTIF(TRANSPORTE!W7:W30,"INCUMPLE")</f>
        <v>23</v>
      </c>
      <c r="J15" s="695">
        <f t="shared" si="0"/>
        <v>24</v>
      </c>
      <c r="K15" s="690">
        <v>0.78</v>
      </c>
      <c r="L15" s="690">
        <v>0.66</v>
      </c>
      <c r="M15" s="691">
        <v>0.94</v>
      </c>
      <c r="N15" s="691">
        <v>0.94166666666666654</v>
      </c>
      <c r="O15" s="697">
        <v>0.94</v>
      </c>
      <c r="P15" s="690">
        <v>0.98</v>
      </c>
      <c r="Q15" s="693">
        <f>TRANSPORTE!U31</f>
        <v>0.9770833333333333</v>
      </c>
      <c r="R15" s="280">
        <f>COUNTIF(TRANSPORTE!U7:U30,"&lt;100%")</f>
        <v>3</v>
      </c>
      <c r="S15" s="320">
        <f>COUNTIF(TRANSPORTE!U7:U30,"=100%")</f>
        <v>21</v>
      </c>
      <c r="T15" s="320"/>
      <c r="U15" s="320"/>
      <c r="V15" s="320"/>
      <c r="W15" s="297" t="s">
        <v>2890</v>
      </c>
      <c r="X15" s="699" t="s">
        <v>2891</v>
      </c>
      <c r="Y15" s="699"/>
      <c r="Z15" s="699"/>
      <c r="AA15" s="710"/>
    </row>
    <row r="16" spans="1:32" ht="32.25" customHeight="1" x14ac:dyDescent="0.2">
      <c r="A16" s="103">
        <v>13</v>
      </c>
      <c r="B16" s="246" t="s">
        <v>2821</v>
      </c>
      <c r="C16" s="103" t="s">
        <v>2821</v>
      </c>
      <c r="D16" s="103">
        <f>COUNTIF('ARCHIVO HISTÓRICO '!U7:U15,"=100%")</f>
        <v>9</v>
      </c>
      <c r="E16" s="103">
        <f>COUNTIF('ARCHIVO HISTÓRICO '!U7:U15,"&gt;=80%")</f>
        <v>9</v>
      </c>
      <c r="F16" s="103">
        <f>(COUNTIF('ARCHIVO HISTÓRICO '!U7:U15,"&gt;=50%"))-E16</f>
        <v>0</v>
      </c>
      <c r="G16" s="103">
        <f>(COUNTIF('ARCHIVO HISTÓRICO '!U7:U15,"&gt;=30%"))-(SUM(E16:F16))</f>
        <v>0</v>
      </c>
      <c r="H16" s="103">
        <f>COUNTIF('ARCHIVO HISTÓRICO '!U7:U15,"&lt;30%")</f>
        <v>0</v>
      </c>
      <c r="I16" s="103">
        <f>COUNTIF('ARCHIVO HISTÓRICO '!W7:W15,"INCUMPLE")</f>
        <v>3</v>
      </c>
      <c r="J16" s="695">
        <f t="shared" si="0"/>
        <v>9</v>
      </c>
      <c r="K16" s="690">
        <v>0.87</v>
      </c>
      <c r="L16" s="690">
        <v>0.87</v>
      </c>
      <c r="M16" s="691">
        <v>0.89</v>
      </c>
      <c r="N16" s="691">
        <v>0.95099372509722513</v>
      </c>
      <c r="O16" s="698">
        <v>1</v>
      </c>
      <c r="P16" s="690">
        <v>1</v>
      </c>
      <c r="Q16" s="693">
        <f>'ARCHIVO HISTÓRICO '!U16</f>
        <v>1</v>
      </c>
      <c r="R16" s="280">
        <f>COUNTIF('ARCHIVO HISTÓRICO '!U7:U15,"&lt;100%")</f>
        <v>0</v>
      </c>
      <c r="S16" s="320">
        <f>COUNTIF('ARCHIVO HISTÓRICO '!U7:U15,"=100%")</f>
        <v>9</v>
      </c>
      <c r="T16" s="320"/>
      <c r="U16" s="320"/>
      <c r="V16" s="320"/>
      <c r="W16" s="297" t="s">
        <v>2892</v>
      </c>
      <c r="X16" s="1131" t="s">
        <v>2893</v>
      </c>
      <c r="Y16" s="1132"/>
      <c r="Z16" s="1132"/>
      <c r="AA16" s="1133"/>
    </row>
    <row r="17" spans="1:27" ht="32.25" customHeight="1" x14ac:dyDescent="0.2">
      <c r="A17" s="103">
        <v>14</v>
      </c>
      <c r="B17" s="247" t="s">
        <v>2894</v>
      </c>
      <c r="C17" s="276" t="s">
        <v>2895</v>
      </c>
      <c r="D17" s="103">
        <f>COUNTIF('PROYECTOS VRI'!U7:U27,"=100%")</f>
        <v>0</v>
      </c>
      <c r="E17" s="103">
        <f>COUNTIF('PROYECTOS VRI'!U7:U27,"&gt;=80%")</f>
        <v>0</v>
      </c>
      <c r="F17" s="103">
        <f>(COUNTIF('PROYECTOS VRI'!U7:U27,"&gt;=50%"))-E17</f>
        <v>2</v>
      </c>
      <c r="G17" s="103">
        <f>(COUNTIF('PROYECTOS VRI'!U7:U27,"&gt;=30%"))-(SUM(E17:F17))</f>
        <v>3</v>
      </c>
      <c r="H17" s="103">
        <f>COUNTIF('PROYECTOS VRI'!U7:U27,"&lt;30%")</f>
        <v>16</v>
      </c>
      <c r="I17" s="103">
        <f>COUNTIF('PROYECTOS VRI'!U7:U27,"INCUMPLE")</f>
        <v>0</v>
      </c>
      <c r="J17" s="695">
        <f t="shared" si="0"/>
        <v>21</v>
      </c>
      <c r="K17" s="690" t="s">
        <v>2827</v>
      </c>
      <c r="L17" s="690" t="s">
        <v>2827</v>
      </c>
      <c r="M17" s="690" t="s">
        <v>2827</v>
      </c>
      <c r="N17" s="690" t="s">
        <v>2827</v>
      </c>
      <c r="O17" s="690" t="s">
        <v>2827</v>
      </c>
      <c r="P17" s="690">
        <v>0.11</v>
      </c>
      <c r="Q17" s="693">
        <f>'PROYECTOS VRI'!U28</f>
        <v>0.10952380952380954</v>
      </c>
      <c r="R17" s="280">
        <f>COUNTIF('PROYECTOS VRI'!U7:U27,"&lt;100%")</f>
        <v>21</v>
      </c>
      <c r="S17" s="320">
        <f>COUNTIF('PROYECTOS VRI'!U7:U27,"=100%")</f>
        <v>0</v>
      </c>
      <c r="T17" s="320">
        <f>COUNTIF('PROYECTOS VRI'!U7:U27,"&lt;90%")</f>
        <v>21</v>
      </c>
      <c r="U17" s="320">
        <f>COUNTIFS('PROYECTOS VRI'!U7:U27,"&lt;100%",'PROYECTOS VRI'!W7:W27,"Incumple")</f>
        <v>0</v>
      </c>
      <c r="V17" s="320">
        <f>COUNTIFS('PROYECTOS VRI'!U7:U27,"&gt;=90%",'PROYECTOS VRI'!W7:W27,"cumple")</f>
        <v>0</v>
      </c>
      <c r="W17" s="297" t="s">
        <v>2861</v>
      </c>
      <c r="X17" s="699" t="s">
        <v>2896</v>
      </c>
      <c r="Y17" s="699" t="s">
        <v>2897</v>
      </c>
      <c r="Z17" s="701" t="s">
        <v>2898</v>
      </c>
      <c r="AA17" s="699"/>
    </row>
    <row r="18" spans="1:27" ht="32.25" customHeight="1" x14ac:dyDescent="0.2">
      <c r="A18" s="103">
        <v>15</v>
      </c>
      <c r="B18" s="246" t="s">
        <v>2823</v>
      </c>
      <c r="C18" s="276" t="s">
        <v>2822</v>
      </c>
      <c r="D18" s="103">
        <f>COUNTIF(REGIONALIZACIÓN!U7:U33,"=100%")</f>
        <v>5</v>
      </c>
      <c r="E18" s="103">
        <f>COUNTIF(REGIONALIZACIÓN!U6:U32,"&gt;=80%")</f>
        <v>12</v>
      </c>
      <c r="F18" s="103">
        <f>(COUNTIF(REGIONALIZACIÓN!U6:U32,"&gt;=50%"))-E18</f>
        <v>3</v>
      </c>
      <c r="G18" s="103">
        <f>(COUNTIF(REGIONALIZACIÓN!U6:U32,"&gt;=30%"))-(SUM(E18:F18))</f>
        <v>0</v>
      </c>
      <c r="H18" s="103">
        <f>COUNTIF(REGIONALIZACIÓN!U7:U33,"&lt;30%")</f>
        <v>11</v>
      </c>
      <c r="I18" s="103">
        <f>COUNTIF(REGIONALIZACIÓN!U6:U32,"INCUMPLE")</f>
        <v>0</v>
      </c>
      <c r="J18" s="695">
        <f t="shared" si="0"/>
        <v>26</v>
      </c>
      <c r="K18" s="690" t="s">
        <v>2827</v>
      </c>
      <c r="L18" s="690" t="s">
        <v>2827</v>
      </c>
      <c r="M18" s="690" t="s">
        <v>2827</v>
      </c>
      <c r="N18" s="690" t="s">
        <v>2827</v>
      </c>
      <c r="O18" s="690" t="s">
        <v>2827</v>
      </c>
      <c r="P18" s="690">
        <v>0.35</v>
      </c>
      <c r="Q18" s="693">
        <f>REGIONALIZACIÓN!U34</f>
        <v>0.50961538461538458</v>
      </c>
      <c r="R18" s="280">
        <f>COUNTIF(REGIONALIZACIÓN!U7:U33,"&lt;100%")</f>
        <v>21</v>
      </c>
      <c r="S18" s="320">
        <f>COUNTIF(REGIONALIZACIÓN!U7:U33,"=100%")</f>
        <v>5</v>
      </c>
      <c r="T18" s="320">
        <f>COUNTIF(REGIONALIZACIÓN!U7:U33,"&lt;90%")</f>
        <v>15</v>
      </c>
      <c r="U18" s="320">
        <f>COUNTIFS(REGIONALIZACIÓN!U7:U33,"&lt;100%",REGIONALIZACIÓN!W7:W33,"Incumple")</f>
        <v>0</v>
      </c>
      <c r="V18" s="320">
        <f>COUNTIFS(REGIONALIZACIÓN!U7:U33,"&gt;=90%",REGIONALIZACIÓN!W7:W33,"cumple")</f>
        <v>7</v>
      </c>
      <c r="W18" s="297" t="s">
        <v>2899</v>
      </c>
      <c r="X18" s="699" t="s">
        <v>2900</v>
      </c>
      <c r="Y18" s="699" t="s">
        <v>2864</v>
      </c>
      <c r="Z18" s="708" t="s">
        <v>2901</v>
      </c>
      <c r="AA18" s="699"/>
    </row>
    <row r="19" spans="1:27" ht="32.25" customHeight="1" x14ac:dyDescent="0.2">
      <c r="A19" s="103">
        <v>16</v>
      </c>
      <c r="B19" s="247" t="s">
        <v>2902</v>
      </c>
      <c r="C19" s="276" t="s">
        <v>1856</v>
      </c>
      <c r="D19" s="103">
        <f>COUNTIF('PLANES ACADÉMICA'!U7:U38,"=100%")</f>
        <v>7</v>
      </c>
      <c r="E19" s="103">
        <f>COUNTIF('PLANES ACADÉMICA'!U7:U38,"&gt;=80%")</f>
        <v>10</v>
      </c>
      <c r="F19" s="103">
        <f>(COUNTIF('PLANES ACADÉMICA'!U7:U38,"&gt;=50%"))-E19</f>
        <v>4</v>
      </c>
      <c r="G19" s="103">
        <f>(COUNTIF('PLANES ACADÉMICA'!U7:U38,"&gt;=30%"))-(SUM(E19:F19))</f>
        <v>1</v>
      </c>
      <c r="H19" s="103">
        <f>COUNTIF('PLANES ACADÉMICA'!U7:U38,"&lt;30%")</f>
        <v>17</v>
      </c>
      <c r="I19" s="103">
        <f>COUNTIF(REGIONALIZACIÓN!U7:U33,"INCUMPLE")</f>
        <v>0</v>
      </c>
      <c r="J19" s="695">
        <f t="shared" si="0"/>
        <v>32</v>
      </c>
      <c r="K19" s="690" t="s">
        <v>2827</v>
      </c>
      <c r="L19" s="690" t="s">
        <v>2827</v>
      </c>
      <c r="M19" s="690" t="s">
        <v>2827</v>
      </c>
      <c r="N19" s="690" t="s">
        <v>2827</v>
      </c>
      <c r="O19" s="690" t="s">
        <v>2827</v>
      </c>
      <c r="P19" s="690">
        <v>0.21</v>
      </c>
      <c r="Q19" s="693">
        <f>'PLANES ACADÉMICA'!U39</f>
        <v>0.37812500000000004</v>
      </c>
      <c r="R19" s="280">
        <f>COUNTIF('PLANES ACADÉMICA'!U7:U38,"&lt;100%")</f>
        <v>25</v>
      </c>
      <c r="S19" s="320">
        <f>COUNTIF('PLANES ACADÉMICA'!U7:U38,"=100%")</f>
        <v>7</v>
      </c>
      <c r="T19" s="320">
        <f>COUNTIF('PLANES ACADÉMICA'!U7:U38,"&lt;90%")</f>
        <v>23</v>
      </c>
      <c r="U19" s="320">
        <f>COUNTIFS('PLANES ACADÉMICA'!U7:U38,"&lt;100%",'PLANES ACADÉMICA'!W7:W38,"Incumple")</f>
        <v>2</v>
      </c>
      <c r="V19" s="320">
        <f>COUNTIFS('PLANES ACADÉMICA'!U7:U38,"&gt;=90%",'PLANES ACADÉMICA'!W7:W38,"cumple")</f>
        <v>8</v>
      </c>
      <c r="W19" s="297" t="s">
        <v>2903</v>
      </c>
      <c r="X19" s="699" t="s">
        <v>2904</v>
      </c>
      <c r="Y19" s="699" t="s">
        <v>2864</v>
      </c>
      <c r="Z19" s="701" t="s">
        <v>2905</v>
      </c>
      <c r="AA19" s="700"/>
    </row>
    <row r="20" spans="1:27" ht="32.25" customHeight="1" x14ac:dyDescent="0.2">
      <c r="A20" s="103">
        <v>17</v>
      </c>
      <c r="B20" s="247" t="s">
        <v>2824</v>
      </c>
      <c r="C20" s="276" t="s">
        <v>1856</v>
      </c>
      <c r="D20" s="103">
        <f>COUNTIF('PROFESOR INVITADO'!U7:U18,"=100%")</f>
        <v>3</v>
      </c>
      <c r="E20" s="103">
        <f>COUNTIF('PROFESOR INVITADO'!U7:U18,"&gt;=80%")</f>
        <v>8</v>
      </c>
      <c r="F20" s="107">
        <f>(COUNTIF('PROFESOR INVITADO'!U7:U18,"&gt;=50%"))-E20</f>
        <v>3</v>
      </c>
      <c r="G20" s="107">
        <f>(COUNTIF('PROFESOR INVITADO'!U7:U18,"&gt;=30%"))-(SUM(E20:F20))</f>
        <v>0</v>
      </c>
      <c r="H20" s="103">
        <f>COUNTIF('PROFESOR INVITADO'!U7:U18,"&lt;30%")</f>
        <v>1</v>
      </c>
      <c r="I20" s="103">
        <f>COUNTIF('PROFESOR INVITADO'!U7:U18,"INCUMPLE")</f>
        <v>0</v>
      </c>
      <c r="J20" s="689">
        <f t="shared" si="0"/>
        <v>12</v>
      </c>
      <c r="K20" s="690" t="s">
        <v>2827</v>
      </c>
      <c r="L20" s="690" t="s">
        <v>2827</v>
      </c>
      <c r="M20" s="690" t="s">
        <v>2827</v>
      </c>
      <c r="N20" s="690" t="s">
        <v>2827</v>
      </c>
      <c r="O20" s="690" t="s">
        <v>2827</v>
      </c>
      <c r="P20" s="690" t="s">
        <v>2827</v>
      </c>
      <c r="Q20" s="693">
        <f>'PROFESOR INVITADO'!U19</f>
        <v>0.75</v>
      </c>
      <c r="R20" s="280">
        <f>COUNTIF('PROFESOR INVITADO'!U7:U18,"&lt;100%")</f>
        <v>9</v>
      </c>
      <c r="S20" s="320">
        <f>COUNTIF('PROFESOR INVITADO'!U7:U18,"=100%")</f>
        <v>3</v>
      </c>
      <c r="T20" s="320">
        <f>COUNTIF('PROFESOR INVITADO'!U7:U18,"&lt;90%")</f>
        <v>5</v>
      </c>
      <c r="U20" s="320">
        <f>COUNTIFS('PROFESOR INVITADO'!U7:U18,"&lt;100%",'PROFESOR INVITADO'!W7:W18,"Incumple")</f>
        <v>0</v>
      </c>
      <c r="V20" s="320">
        <f>COUNTIFS('PROFESOR INVITADO'!U7:U18,"&gt;=90%",'PROFESOR INVITADO'!W7:W18,"cumple")</f>
        <v>7</v>
      </c>
      <c r="W20" s="297" t="s">
        <v>2906</v>
      </c>
      <c r="X20" s="699" t="s">
        <v>2907</v>
      </c>
      <c r="Y20" s="699" t="s">
        <v>2864</v>
      </c>
      <c r="Z20" s="711" t="s">
        <v>2908</v>
      </c>
      <c r="AA20" s="700"/>
    </row>
    <row r="21" spans="1:27" ht="38.25" x14ac:dyDescent="0.2">
      <c r="A21" s="103">
        <v>18</v>
      </c>
      <c r="B21" s="247" t="s">
        <v>2825</v>
      </c>
      <c r="C21" s="276" t="s">
        <v>1948</v>
      </c>
      <c r="D21" s="103">
        <f>COUNTIF(PETI!U7:U50,"=100%")</f>
        <v>5</v>
      </c>
      <c r="E21" s="103">
        <f>COUNTIF(PETI!U7:U50,"&gt;=80%")</f>
        <v>10</v>
      </c>
      <c r="F21" s="107">
        <f>(COUNTIF(PETI!U7:U50,"&gt;=50%"))-E21</f>
        <v>2</v>
      </c>
      <c r="G21" s="107">
        <f>(COUNTIF(PETI!U7:U50,"&gt;=30%"))-(SUM(E21:F21))</f>
        <v>0</v>
      </c>
      <c r="H21" s="103">
        <f>COUNTIF(PETI!U7:U50,"&lt;30%")</f>
        <v>32</v>
      </c>
      <c r="I21" s="103">
        <f>COUNTIF(PETI!U7:U50,"INCUMPLE")</f>
        <v>0</v>
      </c>
      <c r="J21" s="689">
        <f t="shared" si="0"/>
        <v>44</v>
      </c>
      <c r="K21" s="690" t="s">
        <v>2827</v>
      </c>
      <c r="L21" s="690" t="s">
        <v>2827</v>
      </c>
      <c r="M21" s="690" t="s">
        <v>2827</v>
      </c>
      <c r="N21" s="690" t="s">
        <v>2827</v>
      </c>
      <c r="O21" s="690" t="s">
        <v>2827</v>
      </c>
      <c r="P21" s="690" t="s">
        <v>2827</v>
      </c>
      <c r="Q21" s="693">
        <f>PETI!U51</f>
        <v>0.24338235294117652</v>
      </c>
      <c r="R21" s="280">
        <f>COUNTIF(PETI!U7:U50,"&lt;100%")</f>
        <v>39</v>
      </c>
      <c r="S21" s="320">
        <f>COUNTIF(PETI!U7:U50,"=100%")</f>
        <v>5</v>
      </c>
      <c r="T21" s="320">
        <f>COUNTIF(PETI!U7:U50,"&lt;90%")</f>
        <v>34</v>
      </c>
      <c r="U21" s="320">
        <f>COUNTIFS(PETI!U7:U50,"&lt;100%",PETI!U7:U50,"Incumple")</f>
        <v>0</v>
      </c>
      <c r="V21" s="320">
        <f>COUNTIFS(PETI!U7:U50,"&gt;=90%",PETI!U7:U50,"cumple")</f>
        <v>0</v>
      </c>
      <c r="W21" s="647" t="s">
        <v>2909</v>
      </c>
      <c r="X21" s="699" t="s">
        <v>2910</v>
      </c>
      <c r="Y21" s="699"/>
      <c r="Z21" s="711" t="s">
        <v>2911</v>
      </c>
      <c r="AA21" s="700"/>
    </row>
    <row r="22" spans="1:27" ht="18" customHeight="1" x14ac:dyDescent="0.2">
      <c r="A22" s="103">
        <v>19</v>
      </c>
      <c r="B22" s="565" t="s">
        <v>2912</v>
      </c>
      <c r="C22" s="663"/>
      <c r="D22" s="662"/>
      <c r="E22" s="662"/>
      <c r="F22" s="662"/>
      <c r="G22" s="662"/>
      <c r="H22" s="662"/>
      <c r="I22" s="662"/>
      <c r="J22" s="662"/>
      <c r="K22" s="104" t="s">
        <v>2827</v>
      </c>
      <c r="L22" s="104" t="s">
        <v>2827</v>
      </c>
      <c r="M22" s="104" t="s">
        <v>2827</v>
      </c>
      <c r="N22" s="104" t="s">
        <v>2827</v>
      </c>
      <c r="O22" s="104" t="s">
        <v>2827</v>
      </c>
      <c r="P22" s="104"/>
      <c r="Q22" s="646"/>
      <c r="R22" s="666"/>
      <c r="S22" s="667"/>
      <c r="T22" s="670"/>
      <c r="U22" s="670"/>
      <c r="V22" s="670"/>
      <c r="W22" s="668" t="s">
        <v>2913</v>
      </c>
      <c r="X22" s="661"/>
      <c r="Y22" s="673"/>
      <c r="Z22" s="672"/>
      <c r="AA22" s="673"/>
    </row>
    <row r="23" spans="1:27" x14ac:dyDescent="0.2">
      <c r="A23" s="1154" t="s">
        <v>2914</v>
      </c>
      <c r="B23" s="1155"/>
      <c r="C23" s="1156"/>
      <c r="D23" s="103">
        <f>SUM(D5:D16)</f>
        <v>113</v>
      </c>
      <c r="E23" s="103">
        <f t="shared" ref="E23:H23" si="1">SUM(E5:E16)</f>
        <v>147</v>
      </c>
      <c r="F23" s="103">
        <f t="shared" si="1"/>
        <v>11</v>
      </c>
      <c r="G23" s="103">
        <f t="shared" si="1"/>
        <v>16</v>
      </c>
      <c r="H23" s="103">
        <f t="shared" si="1"/>
        <v>14</v>
      </c>
      <c r="I23" s="103">
        <f>SUM(I5:I16)</f>
        <v>124</v>
      </c>
      <c r="J23" s="107">
        <f>SUM(J6+J7+J9+J10+J11+J12+J14+J17+J18+J19+J20+J21)</f>
        <v>232</v>
      </c>
      <c r="K23" s="104">
        <v>0.63</v>
      </c>
      <c r="L23" s="104">
        <v>0.7</v>
      </c>
      <c r="M23" s="105">
        <v>0.67</v>
      </c>
      <c r="N23" s="105">
        <v>0.75182275928206499</v>
      </c>
      <c r="O23" s="105">
        <f>AVERAGE(O4:O16)</f>
        <v>0.74615384615384628</v>
      </c>
      <c r="P23" s="104">
        <f>AVERAGE(P4,P5,P6,P7,P9,P10,P11,P12,P14,P17,P18,P19)</f>
        <v>0.60083333333333333</v>
      </c>
      <c r="Q23" s="646">
        <f>AVERAGE(Q6,Q7,Q9,Q10,Q11,Q12,Q14,Q17,Q18,Q19,Q20,Q21)</f>
        <v>0.58833118677632978</v>
      </c>
      <c r="R23" s="280">
        <f>SUM(R4:R22)</f>
        <v>195</v>
      </c>
      <c r="S23" s="321">
        <f>SUM(S4:S16)</f>
        <v>124</v>
      </c>
      <c r="T23" s="671">
        <f>SUM(T4:T21)</f>
        <v>138</v>
      </c>
      <c r="U23" s="320">
        <f>SUM(U4:U21)</f>
        <v>35</v>
      </c>
      <c r="V23" s="669">
        <f>SUM(V4:V21)</f>
        <v>42</v>
      </c>
    </row>
    <row r="24" spans="1:27" x14ac:dyDescent="0.2">
      <c r="B24"/>
      <c r="C24" s="99"/>
      <c r="D24" s="99"/>
      <c r="E24" s="99"/>
      <c r="F24" s="99"/>
      <c r="G24" s="99"/>
      <c r="H24" s="99"/>
      <c r="I24" s="99"/>
      <c r="J24" s="99"/>
      <c r="K24" s="99"/>
      <c r="L24" s="99"/>
      <c r="M24" s="99"/>
      <c r="N24" s="99"/>
      <c r="O24" s="99"/>
      <c r="P24" s="99"/>
      <c r="Q24" s="99"/>
      <c r="R24" s="99"/>
      <c r="S24" s="99"/>
      <c r="T24" s="99"/>
      <c r="U24" s="99"/>
      <c r="V24" s="99"/>
    </row>
    <row r="25" spans="1:27" x14ac:dyDescent="0.2">
      <c r="B25"/>
      <c r="M25" s="222"/>
      <c r="N25" s="222"/>
      <c r="O25" s="222"/>
    </row>
    <row r="26" spans="1:27" x14ac:dyDescent="0.2">
      <c r="B26"/>
    </row>
    <row r="27" spans="1:27" x14ac:dyDescent="0.2">
      <c r="B27"/>
    </row>
    <row r="28" spans="1:27" x14ac:dyDescent="0.2">
      <c r="B28"/>
      <c r="J28" s="222">
        <f>163/232</f>
        <v>0.70258620689655171</v>
      </c>
      <c r="K28" s="222"/>
      <c r="L28" s="222"/>
      <c r="M28" s="222"/>
      <c r="N28" s="222"/>
      <c r="O28" s="222"/>
      <c r="P28" s="222">
        <f>69/232</f>
        <v>0.29741379310344829</v>
      </c>
      <c r="Q28" s="222">
        <f>36/232</f>
        <v>0.15517241379310345</v>
      </c>
    </row>
    <row r="29" spans="1:27" x14ac:dyDescent="0.2">
      <c r="B29"/>
    </row>
    <row r="30" spans="1:27" x14ac:dyDescent="0.2"/>
    <row r="31" spans="1:27" x14ac:dyDescent="0.2"/>
    <row r="32" spans="1:27" ht="42.75" x14ac:dyDescent="0.2">
      <c r="B32" s="349" t="s">
        <v>2804</v>
      </c>
      <c r="C32" s="676" t="s">
        <v>2915</v>
      </c>
      <c r="D32" s="716" t="s">
        <v>2916</v>
      </c>
      <c r="E32" s="716" t="s">
        <v>2917</v>
      </c>
      <c r="F32" s="716" t="s">
        <v>2918</v>
      </c>
      <c r="G32" s="674"/>
      <c r="H32" s="674"/>
      <c r="I32" s="674"/>
      <c r="J32" s="674"/>
    </row>
    <row r="33" spans="2:10" hidden="1" x14ac:dyDescent="0.2">
      <c r="B33" s="350" t="s">
        <v>2806</v>
      </c>
      <c r="C33" s="714">
        <f>Q4</f>
        <v>0.96250000000000002</v>
      </c>
      <c r="D33" s="717">
        <v>0.3</v>
      </c>
      <c r="E33" s="717">
        <v>0.5</v>
      </c>
      <c r="F33" s="717">
        <v>0.8</v>
      </c>
      <c r="G33" s="713"/>
      <c r="H33" s="675"/>
      <c r="I33" s="675"/>
      <c r="J33" s="675"/>
    </row>
    <row r="34" spans="2:10" hidden="1" x14ac:dyDescent="0.2">
      <c r="B34" s="350" t="s">
        <v>2816</v>
      </c>
      <c r="C34" s="714">
        <f>P13</f>
        <v>0.95</v>
      </c>
      <c r="D34" s="717">
        <v>0.3</v>
      </c>
      <c r="E34" s="717">
        <v>0.5</v>
      </c>
      <c r="F34" s="717">
        <v>0.8</v>
      </c>
      <c r="G34" s="713"/>
      <c r="H34" s="675"/>
      <c r="I34" s="675"/>
      <c r="J34" s="675"/>
    </row>
    <row r="35" spans="2:10" x14ac:dyDescent="0.2">
      <c r="B35" s="685" t="s">
        <v>2874</v>
      </c>
      <c r="C35" s="715">
        <f>Q11</f>
        <v>0.82199999999999984</v>
      </c>
      <c r="D35" s="717">
        <v>0.3</v>
      </c>
      <c r="E35" s="717">
        <v>0.5</v>
      </c>
      <c r="F35" s="717">
        <v>0.8</v>
      </c>
      <c r="G35" s="713"/>
      <c r="H35" s="675"/>
      <c r="I35" s="675"/>
      <c r="J35" s="675"/>
    </row>
    <row r="36" spans="2:10" hidden="1" x14ac:dyDescent="0.2">
      <c r="B36" s="685" t="s">
        <v>2820</v>
      </c>
      <c r="C36" s="714">
        <f>P15</f>
        <v>0.98</v>
      </c>
      <c r="D36" s="717">
        <v>0.3</v>
      </c>
      <c r="E36" s="717">
        <v>0.5</v>
      </c>
      <c r="F36" s="717">
        <v>0.8</v>
      </c>
      <c r="G36" s="713"/>
      <c r="H36" s="675"/>
      <c r="I36" s="675"/>
      <c r="J36" s="675"/>
    </row>
    <row r="37" spans="2:10" hidden="1" x14ac:dyDescent="0.2">
      <c r="B37" s="685" t="s">
        <v>2821</v>
      </c>
      <c r="C37" s="714">
        <f>P16</f>
        <v>1</v>
      </c>
      <c r="D37" s="717">
        <v>0.3</v>
      </c>
      <c r="E37" s="717">
        <v>0.5</v>
      </c>
      <c r="F37" s="717">
        <v>0.8</v>
      </c>
      <c r="G37" s="713"/>
      <c r="H37" s="675"/>
      <c r="I37" s="675"/>
      <c r="J37" s="675"/>
    </row>
    <row r="38" spans="2:10" ht="18" customHeight="1" x14ac:dyDescent="0.2">
      <c r="B38" s="685" t="s">
        <v>61</v>
      </c>
      <c r="C38" s="714">
        <f>Q6</f>
        <v>0.85964912280701766</v>
      </c>
      <c r="D38" s="717">
        <v>0.3</v>
      </c>
      <c r="E38" s="717">
        <v>0.5</v>
      </c>
      <c r="F38" s="717">
        <v>0.8</v>
      </c>
      <c r="G38" s="713"/>
      <c r="H38" s="675"/>
      <c r="I38" s="675"/>
      <c r="J38" s="675"/>
    </row>
    <row r="39" spans="2:10" hidden="1" x14ac:dyDescent="0.2">
      <c r="B39" s="685" t="s">
        <v>2919</v>
      </c>
      <c r="C39" s="714">
        <f>Q5</f>
        <v>0.67826086956521758</v>
      </c>
      <c r="D39" s="717">
        <v>0.3</v>
      </c>
      <c r="E39" s="717">
        <v>0.5</v>
      </c>
      <c r="F39" s="717">
        <v>0.8</v>
      </c>
      <c r="G39" s="713"/>
      <c r="H39" s="675"/>
      <c r="I39" s="675"/>
      <c r="J39" s="675"/>
    </row>
    <row r="40" spans="2:10" ht="21.75" customHeight="1" x14ac:dyDescent="0.2">
      <c r="B40" s="685" t="s">
        <v>2869</v>
      </c>
      <c r="C40" s="714">
        <f>Q10</f>
        <v>0.82500000000000007</v>
      </c>
      <c r="D40" s="717">
        <v>0.3</v>
      </c>
      <c r="E40" s="717">
        <v>0.5</v>
      </c>
      <c r="F40" s="717">
        <v>0.8</v>
      </c>
      <c r="G40" s="713"/>
      <c r="H40" s="675"/>
      <c r="I40" s="675"/>
      <c r="J40" s="675"/>
    </row>
    <row r="41" spans="2:10" x14ac:dyDescent="0.2">
      <c r="B41" s="685" t="s">
        <v>2819</v>
      </c>
      <c r="C41" s="714">
        <f>Q14</f>
        <v>0.44958333333333333</v>
      </c>
      <c r="D41" s="717">
        <v>0.3</v>
      </c>
      <c r="E41" s="717">
        <v>0.5</v>
      </c>
      <c r="F41" s="717">
        <v>0.8</v>
      </c>
      <c r="G41" s="713"/>
      <c r="H41" s="675"/>
      <c r="I41" s="675"/>
      <c r="J41" s="675"/>
    </row>
    <row r="42" spans="2:10" x14ac:dyDescent="0.2">
      <c r="B42" s="685" t="s">
        <v>2810</v>
      </c>
      <c r="C42" s="714">
        <f>Q7</f>
        <v>0.78809523809523818</v>
      </c>
      <c r="D42" s="717">
        <v>0.3</v>
      </c>
      <c r="E42" s="717">
        <v>0.5</v>
      </c>
      <c r="F42" s="717">
        <v>0.8</v>
      </c>
      <c r="G42" s="713"/>
      <c r="H42" s="675"/>
      <c r="I42" s="675"/>
      <c r="J42" s="675"/>
    </row>
    <row r="43" spans="2:10" x14ac:dyDescent="0.2">
      <c r="B43" s="685" t="s">
        <v>2815</v>
      </c>
      <c r="C43" s="714">
        <f>Q12</f>
        <v>0.47499999999999998</v>
      </c>
      <c r="D43" s="717">
        <v>0.3</v>
      </c>
      <c r="E43" s="717">
        <v>0.5</v>
      </c>
      <c r="F43" s="717">
        <v>0.8</v>
      </c>
      <c r="G43" s="713"/>
      <c r="H43" s="675"/>
      <c r="I43" s="675"/>
      <c r="J43" s="675"/>
    </row>
    <row r="44" spans="2:10" ht="12.75" customHeight="1" x14ac:dyDescent="0.2">
      <c r="B44" s="685" t="s">
        <v>2813</v>
      </c>
      <c r="C44" s="714">
        <f>Q9</f>
        <v>0.85</v>
      </c>
      <c r="D44" s="717">
        <v>0.3</v>
      </c>
      <c r="E44" s="717">
        <v>0.5</v>
      </c>
      <c r="F44" s="717">
        <v>0.8</v>
      </c>
      <c r="G44" s="713"/>
      <c r="H44" s="675"/>
      <c r="I44" s="675"/>
      <c r="J44" s="675"/>
    </row>
    <row r="45" spans="2:10" ht="12.75" customHeight="1" x14ac:dyDescent="0.2">
      <c r="B45" s="685" t="s">
        <v>2894</v>
      </c>
      <c r="C45" s="714">
        <f>Q17</f>
        <v>0.10952380952380954</v>
      </c>
      <c r="D45" s="717">
        <v>0.3</v>
      </c>
      <c r="E45" s="717">
        <v>0.5</v>
      </c>
      <c r="F45" s="717">
        <v>0.8</v>
      </c>
      <c r="G45" s="713"/>
      <c r="H45" s="675"/>
      <c r="I45" s="675"/>
      <c r="J45" s="675"/>
    </row>
    <row r="46" spans="2:10" ht="12.75" customHeight="1" x14ac:dyDescent="0.2">
      <c r="B46" s="685" t="s">
        <v>2823</v>
      </c>
      <c r="C46" s="714">
        <f>Q18</f>
        <v>0.50961538461538458</v>
      </c>
      <c r="D46" s="717">
        <v>0.3</v>
      </c>
      <c r="E46" s="717">
        <v>0.5</v>
      </c>
      <c r="F46" s="717">
        <v>0.8</v>
      </c>
      <c r="G46" s="713"/>
      <c r="H46" s="675"/>
      <c r="I46" s="675"/>
      <c r="J46" s="675"/>
    </row>
    <row r="47" spans="2:10" ht="12.75" customHeight="1" x14ac:dyDescent="0.2">
      <c r="B47" s="685" t="s">
        <v>2902</v>
      </c>
      <c r="C47" s="714">
        <f>Q19</f>
        <v>0.37812500000000004</v>
      </c>
      <c r="D47" s="717">
        <v>0.3</v>
      </c>
      <c r="E47" s="717">
        <v>0.5</v>
      </c>
      <c r="F47" s="717">
        <v>0.8</v>
      </c>
      <c r="G47" s="713"/>
      <c r="H47" s="675"/>
      <c r="I47" s="675"/>
      <c r="J47" s="675"/>
    </row>
    <row r="48" spans="2:10" ht="12.75" customHeight="1" x14ac:dyDescent="0.2">
      <c r="B48" s="685" t="s">
        <v>2824</v>
      </c>
      <c r="C48" s="714">
        <f>Q20</f>
        <v>0.75</v>
      </c>
      <c r="D48" s="717">
        <v>0.3</v>
      </c>
      <c r="E48" s="717">
        <v>0.5</v>
      </c>
      <c r="F48" s="717">
        <v>0.8</v>
      </c>
      <c r="G48" s="713"/>
      <c r="H48" s="675"/>
      <c r="I48" s="675"/>
      <c r="J48" s="675"/>
    </row>
    <row r="49" spans="2:10" ht="12.75" customHeight="1" x14ac:dyDescent="0.2">
      <c r="B49" s="685" t="s">
        <v>2825</v>
      </c>
      <c r="C49" s="714">
        <f>Q21</f>
        <v>0.24338235294117652</v>
      </c>
      <c r="D49" s="717">
        <v>0.3</v>
      </c>
      <c r="E49" s="717">
        <v>0.5</v>
      </c>
      <c r="F49" s="717">
        <v>0.8</v>
      </c>
      <c r="G49" s="713"/>
      <c r="H49" s="675"/>
      <c r="I49" s="675"/>
      <c r="J49" s="675"/>
    </row>
    <row r="50" spans="2:10" ht="12.75" customHeight="1" x14ac:dyDescent="0.2">
      <c r="B50" s="221" t="s">
        <v>2920</v>
      </c>
    </row>
    <row r="79" spans="2:5" ht="24" customHeight="1" x14ac:dyDescent="0.2">
      <c r="B79" s="349" t="s">
        <v>2804</v>
      </c>
      <c r="C79" s="349" t="s">
        <v>2915</v>
      </c>
      <c r="D79" s="686" t="s">
        <v>2921</v>
      </c>
      <c r="E79" s="686" t="s">
        <v>2922</v>
      </c>
    </row>
    <row r="80" spans="2:5" ht="12.75" customHeight="1" x14ac:dyDescent="0.2">
      <c r="B80" s="685" t="s">
        <v>2874</v>
      </c>
      <c r="C80" s="352">
        <v>0.82199999999999984</v>
      </c>
      <c r="D80" s="53">
        <f>VLOOKUP(B80,$B$4:$V$21,9,FALSE)</f>
        <v>25</v>
      </c>
      <c r="E80" s="687">
        <f>VLOOKUP(B80,$B$4:$V$21,17,FALSE)</f>
        <v>8</v>
      </c>
    </row>
    <row r="81" spans="2:5" ht="12.75" customHeight="1" x14ac:dyDescent="0.2">
      <c r="B81" s="685" t="s">
        <v>61</v>
      </c>
      <c r="C81" s="351">
        <v>0.85964912280701766</v>
      </c>
      <c r="D81" s="53">
        <f t="shared" ref="D81:D91" si="2">VLOOKUP(B81,$B$4:$V$21,9,FALSE)</f>
        <v>19</v>
      </c>
      <c r="E81" s="687">
        <f t="shared" ref="E81:E91" si="3">VLOOKUP(B81,$B$4:$V$21,17,FALSE)</f>
        <v>5</v>
      </c>
    </row>
    <row r="82" spans="2:5" ht="12.75" customHeight="1" x14ac:dyDescent="0.2">
      <c r="B82" s="685" t="s">
        <v>2869</v>
      </c>
      <c r="C82" s="351">
        <v>0.82500000000000007</v>
      </c>
      <c r="D82" s="53">
        <f t="shared" si="2"/>
        <v>6</v>
      </c>
      <c r="E82" s="687">
        <f t="shared" si="3"/>
        <v>4</v>
      </c>
    </row>
    <row r="83" spans="2:5" ht="12.75" customHeight="1" x14ac:dyDescent="0.2">
      <c r="B83" s="685" t="s">
        <v>2819</v>
      </c>
      <c r="C83" s="351">
        <v>0.44958333333333333</v>
      </c>
      <c r="D83" s="53">
        <f t="shared" si="2"/>
        <v>8</v>
      </c>
      <c r="E83" s="687">
        <f t="shared" si="3"/>
        <v>7</v>
      </c>
    </row>
    <row r="84" spans="2:5" ht="12.75" customHeight="1" x14ac:dyDescent="0.2">
      <c r="B84" s="685" t="s">
        <v>2810</v>
      </c>
      <c r="C84" s="351">
        <v>0.78809523809523818</v>
      </c>
      <c r="D84" s="53">
        <f t="shared" si="2"/>
        <v>21</v>
      </c>
      <c r="E84" s="687">
        <f t="shared" si="3"/>
        <v>13</v>
      </c>
    </row>
    <row r="85" spans="2:5" ht="12.75" customHeight="1" x14ac:dyDescent="0.2">
      <c r="B85" s="685" t="s">
        <v>2879</v>
      </c>
      <c r="C85" s="351">
        <v>0.47499999999999998</v>
      </c>
      <c r="D85" s="53">
        <f t="shared" si="2"/>
        <v>14</v>
      </c>
      <c r="E85" s="687">
        <f t="shared" si="3"/>
        <v>10</v>
      </c>
    </row>
    <row r="86" spans="2:5" ht="12.75" customHeight="1" x14ac:dyDescent="0.2">
      <c r="B86" s="685" t="s">
        <v>2813</v>
      </c>
      <c r="C86" s="351">
        <v>0.85</v>
      </c>
      <c r="D86" s="53">
        <f t="shared" si="2"/>
        <v>4</v>
      </c>
      <c r="E86" s="687">
        <f t="shared" si="3"/>
        <v>1</v>
      </c>
    </row>
    <row r="87" spans="2:5" ht="12.75" customHeight="1" x14ac:dyDescent="0.2">
      <c r="B87" s="685" t="s">
        <v>2894</v>
      </c>
      <c r="C87" s="351">
        <v>0.10952380952380954</v>
      </c>
      <c r="D87" s="53">
        <f t="shared" si="2"/>
        <v>21</v>
      </c>
      <c r="E87" s="687">
        <f t="shared" si="3"/>
        <v>21</v>
      </c>
    </row>
    <row r="88" spans="2:5" ht="12.75" customHeight="1" x14ac:dyDescent="0.2">
      <c r="B88" s="685" t="s">
        <v>2823</v>
      </c>
      <c r="C88" s="351">
        <v>0.50961538461538458</v>
      </c>
      <c r="D88" s="53">
        <f t="shared" si="2"/>
        <v>26</v>
      </c>
      <c r="E88" s="687">
        <f t="shared" si="3"/>
        <v>21</v>
      </c>
    </row>
    <row r="89" spans="2:5" ht="12.75" customHeight="1" x14ac:dyDescent="0.2">
      <c r="B89" s="685" t="s">
        <v>2902</v>
      </c>
      <c r="C89" s="351">
        <v>0.37812500000000004</v>
      </c>
      <c r="D89" s="53">
        <f t="shared" si="2"/>
        <v>32</v>
      </c>
      <c r="E89" s="687">
        <f t="shared" si="3"/>
        <v>25</v>
      </c>
    </row>
    <row r="90" spans="2:5" ht="12.75" customHeight="1" x14ac:dyDescent="0.2">
      <c r="B90" s="685" t="s">
        <v>2824</v>
      </c>
      <c r="C90" s="351">
        <v>0.75</v>
      </c>
      <c r="D90" s="53">
        <f t="shared" si="2"/>
        <v>12</v>
      </c>
      <c r="E90" s="687">
        <f t="shared" si="3"/>
        <v>9</v>
      </c>
    </row>
    <row r="91" spans="2:5" ht="12.75" customHeight="1" x14ac:dyDescent="0.2">
      <c r="B91" s="685" t="s">
        <v>2825</v>
      </c>
      <c r="C91" s="351">
        <v>0.24338235294117652</v>
      </c>
      <c r="D91" s="53">
        <f t="shared" si="2"/>
        <v>44</v>
      </c>
      <c r="E91" s="687">
        <f t="shared" si="3"/>
        <v>39</v>
      </c>
    </row>
  </sheetData>
  <autoFilter ref="A1:S3" xr:uid="{00000000-0001-0000-1C00-000000000000}">
    <filterColumn colId="3" showButton="0"/>
    <filterColumn colId="4" showButton="0"/>
    <filterColumn colId="5" showButton="0"/>
    <filterColumn colId="6" showButton="0"/>
    <filterColumn colId="10" showButton="0"/>
    <filterColumn colId="11" showButton="0"/>
    <filterColumn colId="12" showButton="0"/>
    <filterColumn colId="13" showButton="0"/>
    <filterColumn colId="14" showButton="0"/>
  </autoFilter>
  <mergeCells count="33">
    <mergeCell ref="T1:T3"/>
    <mergeCell ref="U1:U3"/>
    <mergeCell ref="V1:V3"/>
    <mergeCell ref="Q2:Q3"/>
    <mergeCell ref="A23:C23"/>
    <mergeCell ref="J1:J3"/>
    <mergeCell ref="N2:N3"/>
    <mergeCell ref="R1:R3"/>
    <mergeCell ref="D1:H1"/>
    <mergeCell ref="D2:D3"/>
    <mergeCell ref="O2:O3"/>
    <mergeCell ref="A1:A3"/>
    <mergeCell ref="B1:B3"/>
    <mergeCell ref="C1:C3"/>
    <mergeCell ref="E2:E3"/>
    <mergeCell ref="F2:F3"/>
    <mergeCell ref="S1:S3"/>
    <mergeCell ref="K2:K3"/>
    <mergeCell ref="M2:M3"/>
    <mergeCell ref="G2:G3"/>
    <mergeCell ref="H2:H3"/>
    <mergeCell ref="I1:I3"/>
    <mergeCell ref="P2:P3"/>
    <mergeCell ref="L2:L3"/>
    <mergeCell ref="X16:AA16"/>
    <mergeCell ref="AB14:AC14"/>
    <mergeCell ref="W5:W7"/>
    <mergeCell ref="Z1:Z3"/>
    <mergeCell ref="AA1:AA3"/>
    <mergeCell ref="Y1:Y3"/>
    <mergeCell ref="W1:W3"/>
    <mergeCell ref="X1:X3"/>
    <mergeCell ref="X11:X12"/>
  </mergeCells>
  <conditionalFormatting sqref="C33:C49 C80:C91">
    <cfRule type="cellIs" dxfId="8" priority="5" stopIfTrue="1" operator="between">
      <formula>0.8</formula>
      <formula>1</formula>
    </cfRule>
    <cfRule type="cellIs" dxfId="7" priority="6" stopIfTrue="1" operator="between">
      <formula>0.5</formula>
      <formula>0.79</formula>
    </cfRule>
    <cfRule type="cellIs" dxfId="6" priority="7" stopIfTrue="1" operator="between">
      <formula>0.3</formula>
      <formula>0.49</formula>
    </cfRule>
    <cfRule type="cellIs" dxfId="5" priority="8" stopIfTrue="1" operator="between">
      <formula>0</formula>
      <formula>0.29</formula>
    </cfRule>
  </conditionalFormatting>
  <conditionalFormatting sqref="E2:H3">
    <cfRule type="colorScale" priority="28">
      <colorScale>
        <cfvo type="min"/>
        <cfvo type="percentile" val="50"/>
        <cfvo type="max"/>
        <color rgb="FFF8696B"/>
        <color rgb="FFFFEB84"/>
        <color rgb="FF63BE7B"/>
      </colorScale>
    </cfRule>
  </conditionalFormatting>
  <conditionalFormatting sqref="K17:N19 K20:O22">
    <cfRule type="colorScale" priority="888">
      <colorScale>
        <cfvo type="min"/>
        <cfvo type="percentile" val="50"/>
        <cfvo type="max"/>
        <color rgb="FFF8696B"/>
        <color rgb="FFFFEB84"/>
        <color rgb="FF63BE7B"/>
      </colorScale>
    </cfRule>
  </conditionalFormatting>
  <conditionalFormatting sqref="K4:Q23">
    <cfRule type="cellIs" dxfId="3" priority="10" operator="between">
      <formula>0</formula>
      <formula>0.299</formula>
    </cfRule>
    <cfRule type="cellIs" dxfId="2" priority="11" operator="between">
      <formula>0.3</formula>
      <formula>0.499</formula>
    </cfRule>
    <cfRule type="cellIs" dxfId="1" priority="12" operator="between">
      <formula>0.5</formula>
      <formula>0.799</formula>
    </cfRule>
    <cfRule type="cellIs" dxfId="0" priority="13" operator="greaterThan">
      <formula>0.8</formula>
    </cfRule>
  </conditionalFormatting>
  <conditionalFormatting sqref="AB10:AC10">
    <cfRule type="colorScale" priority="1202">
      <colorScale>
        <cfvo type="min"/>
        <cfvo type="percentile" val="50"/>
        <cfvo type="max"/>
        <color rgb="FFF8696B"/>
        <color rgb="FFFFEB84"/>
        <color rgb="FF63BE7B"/>
      </colorScale>
    </cfRule>
  </conditionalFormatting>
  <conditionalFormatting sqref="AB10:AE10">
    <cfRule type="colorScale" priority="1204">
      <colorScale>
        <cfvo type="min"/>
        <cfvo type="percentile" val="50"/>
        <cfvo type="max"/>
        <color rgb="FFF8696B"/>
        <color rgb="FFFFEB84"/>
        <color rgb="FF63BE7B"/>
      </colorScale>
    </cfRule>
    <cfRule type="colorScale" priority="1207">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F9F53419-5D0F-4A98-BBB1-449A8A35C698}">
            <xm:f>NOT(ISERROR(SEARCH("-",K4)))</xm:f>
            <xm:f>"-"</xm:f>
            <x14:dxf>
              <font>
                <color theme="1"/>
              </font>
              <fill>
                <patternFill patternType="solid">
                  <bgColor theme="0"/>
                </patternFill>
              </fill>
            </x14:dxf>
          </x14:cfRule>
          <xm:sqref>K4:Q23</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P27"/>
  <sheetViews>
    <sheetView zoomScale="90" zoomScaleNormal="90" workbookViewId="0">
      <selection activeCell="Q31" sqref="Q31"/>
    </sheetView>
  </sheetViews>
  <sheetFormatPr baseColWidth="10" defaultColWidth="11.42578125" defaultRowHeight="12.75" customHeight="1" x14ac:dyDescent="0.2"/>
  <cols>
    <col min="1" max="1" width="8.42578125" style="59" customWidth="1"/>
    <col min="2" max="2" width="32.5703125" style="59" customWidth="1"/>
    <col min="3" max="3" width="28.7109375" style="59" customWidth="1"/>
    <col min="4" max="4" width="31.85546875" style="59" customWidth="1"/>
    <col min="5" max="5" width="21.7109375" style="61" customWidth="1"/>
    <col min="6" max="6" width="33.42578125" style="61" customWidth="1"/>
    <col min="7" max="7" width="20.42578125" style="61" customWidth="1"/>
    <col min="8" max="8" width="21.5703125" style="61" customWidth="1"/>
    <col min="9" max="9" width="19" style="59" customWidth="1"/>
    <col min="10" max="10" width="13.85546875" style="59" customWidth="1"/>
    <col min="11" max="11" width="11.5703125" style="59" customWidth="1"/>
    <col min="12" max="12" width="12.7109375" style="59" hidden="1" customWidth="1"/>
    <col min="13" max="13" width="13.42578125" style="59" hidden="1" customWidth="1"/>
    <col min="14" max="14" width="16.85546875" style="59" customWidth="1"/>
    <col min="15" max="15" width="13" style="59" customWidth="1"/>
    <col min="16" max="16" width="16" style="59" customWidth="1"/>
    <col min="17" max="16384" width="11.42578125" style="59"/>
  </cols>
  <sheetData>
    <row r="1" spans="1:16" ht="23.25" customHeight="1" x14ac:dyDescent="0.2">
      <c r="B1" s="1165" t="s">
        <v>2923</v>
      </c>
      <c r="C1" s="1167" t="s">
        <v>2924</v>
      </c>
      <c r="D1" s="1169" t="s">
        <v>2834</v>
      </c>
      <c r="E1" s="1171">
        <v>1</v>
      </c>
      <c r="F1" s="1173" t="s">
        <v>2925</v>
      </c>
      <c r="G1" s="1191" t="s">
        <v>2926</v>
      </c>
      <c r="H1" s="1193" t="s">
        <v>2927</v>
      </c>
      <c r="I1" s="1195" t="s">
        <v>2928</v>
      </c>
      <c r="J1" s="1169" t="s">
        <v>2929</v>
      </c>
      <c r="K1" s="1175" t="s">
        <v>2930</v>
      </c>
      <c r="L1" s="1169" t="s">
        <v>2931</v>
      </c>
      <c r="M1" s="1185" t="s">
        <v>2932</v>
      </c>
      <c r="N1" s="1183" t="s">
        <v>2933</v>
      </c>
      <c r="O1" s="1181" t="s">
        <v>2934</v>
      </c>
      <c r="P1" s="1175" t="s">
        <v>2935</v>
      </c>
    </row>
    <row r="2" spans="1:16" ht="14.25" customHeight="1" x14ac:dyDescent="0.2">
      <c r="B2" s="1166"/>
      <c r="C2" s="1168"/>
      <c r="D2" s="1170"/>
      <c r="E2" s="1172"/>
      <c r="F2" s="1174"/>
      <c r="G2" s="1192"/>
      <c r="H2" s="1194"/>
      <c r="I2" s="1196"/>
      <c r="J2" s="1170"/>
      <c r="K2" s="1176"/>
      <c r="L2" s="1170"/>
      <c r="M2" s="1186"/>
      <c r="N2" s="1184"/>
      <c r="O2" s="1182"/>
      <c r="P2" s="1176"/>
    </row>
    <row r="3" spans="1:16" ht="15" x14ac:dyDescent="0.25">
      <c r="B3" s="593" t="s">
        <v>2936</v>
      </c>
      <c r="C3" s="594">
        <v>19</v>
      </c>
      <c r="D3" s="598">
        <f>COUNTA('CGR 2019'!G4:G29)</f>
        <v>26</v>
      </c>
      <c r="E3" s="596">
        <f>COUNTIF('CGR 2019'!Q4:Q29,"=100%")</f>
        <v>26</v>
      </c>
      <c r="F3" s="598">
        <f>COUNTIF('CGR 2019'!Q4:Q29,"&gt;=80%")-E3</f>
        <v>0</v>
      </c>
      <c r="G3" s="596">
        <f>(COUNTIF('CGR 2019'!Q4:Q29,"&gt;=50%"))-(F3+E3)</f>
        <v>0</v>
      </c>
      <c r="H3" s="598">
        <f>(COUNTIF('CGR 2019'!Q4:Q29,"&gt;=30%"))-(F3+G3+E3)</f>
        <v>0</v>
      </c>
      <c r="I3" s="596">
        <f>COUNTIF('CGR 2019'!Q4:Q29,"&lt;30%")</f>
        <v>0</v>
      </c>
      <c r="J3" s="598">
        <f>SUM(F3:I3)</f>
        <v>0</v>
      </c>
      <c r="K3" s="600">
        <f>(E3/D3)</f>
        <v>1</v>
      </c>
      <c r="L3" s="604">
        <v>0.84</v>
      </c>
      <c r="M3" s="600">
        <v>0.88846153846153864</v>
      </c>
      <c r="N3" s="606">
        <v>0.91</v>
      </c>
      <c r="O3" s="602">
        <v>0.97</v>
      </c>
      <c r="P3" s="600">
        <f>'CGR 2019'!Q30</f>
        <v>1</v>
      </c>
    </row>
    <row r="4" spans="1:16" ht="15" x14ac:dyDescent="0.25">
      <c r="B4" s="293" t="s">
        <v>2937</v>
      </c>
      <c r="C4" s="595">
        <v>14</v>
      </c>
      <c r="D4" s="599">
        <f>COUNTA('CGR 2020'!G4:G33)</f>
        <v>30</v>
      </c>
      <c r="E4" s="597">
        <f>COUNTIF('CGR 2020'!Q4:Q33,"=100%")</f>
        <v>27</v>
      </c>
      <c r="F4" s="599">
        <f>COUNTIF('CGR 2020'!Q4:Q33,"&gt;=80%")-E4</f>
        <v>0</v>
      </c>
      <c r="G4" s="597">
        <f>(COUNTIF('CGR 2020'!Q4:Q33,"&gt;=50%"))-(F4+E4)</f>
        <v>2</v>
      </c>
      <c r="H4" s="599">
        <f>(COUNTIF('CGR 2020'!Q4:Q33,"&gt;=30%"))-(F4+G4+E4)</f>
        <v>1</v>
      </c>
      <c r="I4" s="597">
        <f>COUNTIF('CGR 2020'!Q4:Q33,"&lt;30%")</f>
        <v>0</v>
      </c>
      <c r="J4" s="599">
        <f>SUM(F4:I4)</f>
        <v>3</v>
      </c>
      <c r="K4" s="601">
        <f>(E4/D4)</f>
        <v>0.9</v>
      </c>
      <c r="L4" s="605">
        <v>0.67</v>
      </c>
      <c r="M4" s="601">
        <v>0.89833333333333332</v>
      </c>
      <c r="N4" s="607">
        <v>0.94</v>
      </c>
      <c r="O4" s="603">
        <v>0.94430000000000003</v>
      </c>
      <c r="P4" s="601">
        <f>'CGR 2020'!Q34</f>
        <v>0.94433333333333325</v>
      </c>
    </row>
    <row r="5" spans="1:16" ht="15" x14ac:dyDescent="0.25">
      <c r="B5" s="294" t="s">
        <v>2938</v>
      </c>
      <c r="C5" s="594">
        <v>9</v>
      </c>
      <c r="D5" s="598">
        <f>COUNTA('CGR 2021'!G4:G39)</f>
        <v>36</v>
      </c>
      <c r="E5" s="596">
        <f>COUNTIF('CGR 2021'!Q4:Q39,"=100%")</f>
        <v>32</v>
      </c>
      <c r="F5" s="598">
        <f>COUNTIF('CGR 2021'!Q4:Q39,"&gt;=80%")-E5</f>
        <v>1</v>
      </c>
      <c r="G5" s="596">
        <f>(COUNTIF('CGR 2021'!Q4:Q39,"&gt;=50%"))-(F5+E5)</f>
        <v>3</v>
      </c>
      <c r="H5" s="598">
        <f>(COUNTIF('CGR 2021'!Q4:Q39,"&gt;=30%"))-(F5+G5+E5)</f>
        <v>0</v>
      </c>
      <c r="I5" s="596">
        <f>COUNTIF('CGR 2021'!Q4:Q39,"&lt;30%")</f>
        <v>0</v>
      </c>
      <c r="J5" s="598">
        <f>SUM(F5:I5)</f>
        <v>4</v>
      </c>
      <c r="K5" s="600">
        <f>(E5/D5)</f>
        <v>0.88888888888888884</v>
      </c>
      <c r="L5" s="604">
        <v>0.49</v>
      </c>
      <c r="M5" s="600">
        <v>0.801111111111111</v>
      </c>
      <c r="N5" s="606">
        <v>0.93</v>
      </c>
      <c r="O5" s="602">
        <v>0.96</v>
      </c>
      <c r="P5" s="600">
        <f>'CGR 2021'!Q40</f>
        <v>0.96861111111111109</v>
      </c>
    </row>
    <row r="6" spans="1:16" ht="15" x14ac:dyDescent="0.25">
      <c r="B6" s="618" t="s">
        <v>2939</v>
      </c>
      <c r="C6" s="619">
        <v>13</v>
      </c>
      <c r="D6" s="620">
        <v>21</v>
      </c>
      <c r="E6" s="621">
        <f>COUNTIF('CGR 2023'!Q4:Q24,"=100%")</f>
        <v>14</v>
      </c>
      <c r="F6" s="620">
        <f>COUNTIF('CGR 2023'!Q4:Q24,"&gt;=80%")-E6</f>
        <v>0</v>
      </c>
      <c r="G6" s="621">
        <f>COUNTIF('CGR 2023'!Q4:Q24,"&gt;=50%")-(F6+E6)</f>
        <v>3</v>
      </c>
      <c r="H6" s="620">
        <f>(COUNTIF('CGR 2023'!Q4:Q24,"&gt;=30%"))-(F6+G6+E6)</f>
        <v>0</v>
      </c>
      <c r="I6" s="621">
        <f>COUNTIF('CGR 2023'!Q4:Q24,"&lt;30%")</f>
        <v>4</v>
      </c>
      <c r="J6" s="620">
        <f>SUM(F6:I6)</f>
        <v>7</v>
      </c>
      <c r="K6" s="622">
        <f>E6/D6</f>
        <v>0.66666666666666663</v>
      </c>
      <c r="L6" s="623" t="s">
        <v>2827</v>
      </c>
      <c r="M6" s="624" t="s">
        <v>2827</v>
      </c>
      <c r="N6" s="623" t="s">
        <v>2827</v>
      </c>
      <c r="O6" s="625" t="s">
        <v>2827</v>
      </c>
      <c r="P6" s="624">
        <f>'CGR 2023'!Q25</f>
        <v>0.74603174603174605</v>
      </c>
    </row>
    <row r="7" spans="1:16" ht="15" x14ac:dyDescent="0.25">
      <c r="B7" s="608" t="s">
        <v>2940</v>
      </c>
      <c r="C7" s="609">
        <f t="shared" ref="C7:J7" si="0">SUM(C3:C6)</f>
        <v>55</v>
      </c>
      <c r="D7" s="610">
        <f t="shared" si="0"/>
        <v>113</v>
      </c>
      <c r="E7" s="611">
        <f t="shared" si="0"/>
        <v>99</v>
      </c>
      <c r="F7" s="612">
        <f t="shared" si="0"/>
        <v>1</v>
      </c>
      <c r="G7" s="613">
        <f t="shared" si="0"/>
        <v>8</v>
      </c>
      <c r="H7" s="612">
        <f t="shared" si="0"/>
        <v>1</v>
      </c>
      <c r="I7" s="611">
        <f t="shared" si="0"/>
        <v>4</v>
      </c>
      <c r="J7" s="614">
        <f t="shared" si="0"/>
        <v>14</v>
      </c>
      <c r="K7" s="615">
        <f>AVERAGE(K3:K6)</f>
        <v>0.86388888888888882</v>
      </c>
      <c r="L7" s="616">
        <v>0.75</v>
      </c>
      <c r="M7" s="615">
        <v>0.89697649572649574</v>
      </c>
      <c r="N7" s="616">
        <v>0.93</v>
      </c>
      <c r="O7" s="617">
        <f>AVERAGE(O3:O5)</f>
        <v>0.95809999999999995</v>
      </c>
      <c r="P7" s="615">
        <f>AVERAGE(P3:P6)</f>
        <v>0.9147440476190476</v>
      </c>
    </row>
    <row r="12" spans="1:16" ht="15.75" customHeight="1" x14ac:dyDescent="0.2"/>
    <row r="13" spans="1:16" ht="12.75" customHeight="1" x14ac:dyDescent="0.2">
      <c r="B13" s="1139" t="s">
        <v>2941</v>
      </c>
      <c r="C13" s="1142" t="s">
        <v>2841</v>
      </c>
      <c r="D13" s="1179" t="s">
        <v>2942</v>
      </c>
      <c r="E13" s="1142" t="s">
        <v>2943</v>
      </c>
      <c r="F13" s="1142" t="s">
        <v>2944</v>
      </c>
      <c r="N13" s="1187" t="s">
        <v>2923</v>
      </c>
      <c r="O13" s="1189" t="s">
        <v>2934</v>
      </c>
      <c r="P13" s="1177" t="s">
        <v>2935</v>
      </c>
    </row>
    <row r="14" spans="1:16" ht="21.75" customHeight="1" x14ac:dyDescent="0.2">
      <c r="B14" s="1141"/>
      <c r="C14" s="1139"/>
      <c r="D14" s="1180"/>
      <c r="E14" s="1142"/>
      <c r="F14" s="1142"/>
      <c r="N14" s="1188"/>
      <c r="O14" s="1190"/>
      <c r="P14" s="1178"/>
    </row>
    <row r="15" spans="1:16" ht="39.75" customHeight="1" x14ac:dyDescent="0.25">
      <c r="A15"/>
      <c r="B15" s="305" t="s">
        <v>2811</v>
      </c>
      <c r="C15" s="637" t="s">
        <v>2945</v>
      </c>
      <c r="D15" s="304" t="s">
        <v>2946</v>
      </c>
      <c r="E15" s="591" t="s">
        <v>2947</v>
      </c>
      <c r="F15" s="304" t="s">
        <v>2948</v>
      </c>
      <c r="K15"/>
      <c r="L15"/>
      <c r="N15" s="630" t="s">
        <v>2936</v>
      </c>
      <c r="O15" s="631">
        <v>0.96923076923076912</v>
      </c>
      <c r="P15" s="632">
        <v>1</v>
      </c>
    </row>
    <row r="16" spans="1:16" ht="50.25" customHeight="1" x14ac:dyDescent="0.25">
      <c r="A16"/>
      <c r="B16" s="305" t="s">
        <v>2949</v>
      </c>
      <c r="C16" s="637" t="s">
        <v>2950</v>
      </c>
      <c r="D16" s="304" t="s">
        <v>2951</v>
      </c>
      <c r="F16" s="303"/>
      <c r="K16"/>
      <c r="L16"/>
      <c r="N16" s="627" t="s">
        <v>2937</v>
      </c>
      <c r="O16" s="626">
        <v>0.94433333333333325</v>
      </c>
      <c r="P16" s="629">
        <v>0.94430000000000003</v>
      </c>
    </row>
    <row r="17" spans="1:16" ht="15" x14ac:dyDescent="0.25">
      <c r="A17"/>
      <c r="B17" s="305" t="s">
        <v>2952</v>
      </c>
      <c r="C17" s="637" t="s">
        <v>2953</v>
      </c>
      <c r="D17" s="304" t="s">
        <v>2954</v>
      </c>
      <c r="F17" s="303"/>
      <c r="K17"/>
      <c r="L17"/>
      <c r="N17" s="627" t="s">
        <v>2938</v>
      </c>
      <c r="O17" s="592">
        <v>0.96222222222222209</v>
      </c>
      <c r="P17" s="628">
        <v>0.97</v>
      </c>
    </row>
    <row r="18" spans="1:16" ht="42.75" x14ac:dyDescent="0.25">
      <c r="A18"/>
      <c r="B18" s="305" t="s">
        <v>2955</v>
      </c>
      <c r="C18" s="637" t="s">
        <v>2956</v>
      </c>
      <c r="D18" s="638" t="s">
        <v>2957</v>
      </c>
      <c r="F18" s="303"/>
      <c r="K18"/>
      <c r="L18"/>
      <c r="N18" s="636" t="s">
        <v>2939</v>
      </c>
      <c r="O18" s="659" t="s">
        <v>2827</v>
      </c>
      <c r="P18" s="658">
        <f>P6</f>
        <v>0.74603174603174605</v>
      </c>
    </row>
    <row r="19" spans="1:16" ht="30" customHeight="1" x14ac:dyDescent="0.25">
      <c r="A19"/>
      <c r="B19" s="305" t="s">
        <v>2894</v>
      </c>
      <c r="C19" s="637" t="s">
        <v>2958</v>
      </c>
      <c r="D19" s="649" t="s">
        <v>2959</v>
      </c>
      <c r="E19" s="650"/>
      <c r="F19" s="303"/>
      <c r="K19"/>
      <c r="L19"/>
      <c r="N19" s="633" t="s">
        <v>2960</v>
      </c>
      <c r="O19" s="634">
        <f>AVERAGE(O15:O17)</f>
        <v>0.95859544159544152</v>
      </c>
      <c r="P19" s="635">
        <f>AVERAGE(P15:P18)</f>
        <v>0.91508293650793648</v>
      </c>
    </row>
    <row r="20" spans="1:16" ht="14.25" x14ac:dyDescent="0.2">
      <c r="A20"/>
      <c r="B20" s="305" t="s">
        <v>2961</v>
      </c>
      <c r="C20" s="637" t="s">
        <v>2962</v>
      </c>
      <c r="D20" s="648" t="s">
        <v>2963</v>
      </c>
      <c r="E20" s="53"/>
      <c r="K20"/>
      <c r="L20"/>
    </row>
    <row r="21" spans="1:16" ht="15" x14ac:dyDescent="0.2">
      <c r="A21"/>
      <c r="B21" s="305" t="s">
        <v>1856</v>
      </c>
      <c r="C21" s="639" t="s">
        <v>2964</v>
      </c>
      <c r="D21" s="640" t="s">
        <v>2965</v>
      </c>
      <c r="E21" s="53"/>
      <c r="F21"/>
      <c r="G21"/>
      <c r="H21"/>
      <c r="I21"/>
      <c r="J21"/>
      <c r="K21"/>
      <c r="L21"/>
    </row>
    <row r="22" spans="1:16" ht="14.25" x14ac:dyDescent="0.2">
      <c r="A22"/>
      <c r="B22" s="305" t="s">
        <v>2966</v>
      </c>
      <c r="C22" s="637" t="s">
        <v>2967</v>
      </c>
      <c r="D22" s="641" t="s">
        <v>2968</v>
      </c>
      <c r="E22" s="53"/>
      <c r="F22"/>
      <c r="G22"/>
      <c r="H22"/>
      <c r="I22"/>
      <c r="J22"/>
      <c r="K22"/>
      <c r="L22"/>
    </row>
    <row r="23" spans="1:16" ht="12.75" customHeight="1" x14ac:dyDescent="0.2">
      <c r="A23"/>
      <c r="B23"/>
      <c r="C23"/>
      <c r="D23"/>
      <c r="E23"/>
      <c r="F23"/>
      <c r="G23"/>
      <c r="H23"/>
      <c r="I23"/>
      <c r="J23"/>
      <c r="K23"/>
      <c r="L23"/>
    </row>
    <row r="24" spans="1:16" ht="12.75" customHeight="1" x14ac:dyDescent="0.2">
      <c r="A24"/>
      <c r="B24"/>
      <c r="C24"/>
      <c r="D24"/>
      <c r="E24"/>
      <c r="F24"/>
      <c r="G24"/>
      <c r="H24"/>
      <c r="I24"/>
      <c r="J24"/>
      <c r="K24"/>
      <c r="L24"/>
    </row>
    <row r="25" spans="1:16" ht="12.75" customHeight="1" x14ac:dyDescent="0.2">
      <c r="A25"/>
      <c r="B25"/>
      <c r="C25"/>
      <c r="D25"/>
      <c r="E25"/>
      <c r="F25"/>
      <c r="G25"/>
      <c r="H25"/>
      <c r="I25"/>
      <c r="J25"/>
      <c r="K25"/>
      <c r="L25"/>
    </row>
    <row r="26" spans="1:16" ht="12.75" customHeight="1" x14ac:dyDescent="0.2">
      <c r="A26"/>
      <c r="B26"/>
      <c r="C26"/>
      <c r="D26"/>
      <c r="E26"/>
      <c r="F26"/>
      <c r="G26"/>
      <c r="H26"/>
      <c r="I26"/>
      <c r="J26"/>
      <c r="K26"/>
      <c r="L26"/>
    </row>
    <row r="27" spans="1:16" ht="12.75" customHeight="1" x14ac:dyDescent="0.2">
      <c r="A27"/>
      <c r="B27"/>
      <c r="C27"/>
      <c r="D27"/>
      <c r="E27"/>
      <c r="F27"/>
      <c r="G27"/>
      <c r="H27"/>
      <c r="I27"/>
      <c r="J27"/>
      <c r="K27"/>
      <c r="L27"/>
    </row>
  </sheetData>
  <mergeCells count="23">
    <mergeCell ref="P1:P2"/>
    <mergeCell ref="B13:B14"/>
    <mergeCell ref="P13:P14"/>
    <mergeCell ref="D13:D14"/>
    <mergeCell ref="O1:O2"/>
    <mergeCell ref="N1:N2"/>
    <mergeCell ref="C13:C14"/>
    <mergeCell ref="L1:L2"/>
    <mergeCell ref="M1:M2"/>
    <mergeCell ref="K1:K2"/>
    <mergeCell ref="N13:N14"/>
    <mergeCell ref="O13:O14"/>
    <mergeCell ref="G1:G2"/>
    <mergeCell ref="H1:H2"/>
    <mergeCell ref="I1:I2"/>
    <mergeCell ref="J1:J2"/>
    <mergeCell ref="E13:E14"/>
    <mergeCell ref="F13:F14"/>
    <mergeCell ref="B1:B2"/>
    <mergeCell ref="C1:C2"/>
    <mergeCell ref="D1:D2"/>
    <mergeCell ref="E1:E2"/>
    <mergeCell ref="F1:F2"/>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8"/>
  <dimension ref="B1:I27"/>
  <sheetViews>
    <sheetView topLeftCell="A10" zoomScaleNormal="100" workbookViewId="0">
      <selection activeCell="C30" sqref="C30:D37"/>
    </sheetView>
  </sheetViews>
  <sheetFormatPr baseColWidth="10" defaultColWidth="11.42578125" defaultRowHeight="12.75" x14ac:dyDescent="0.2"/>
  <cols>
    <col min="1" max="1" width="18.140625" style="1" customWidth="1"/>
    <col min="2" max="2" width="5.140625" style="1" customWidth="1"/>
    <col min="3" max="3" width="38.5703125" style="1" customWidth="1"/>
    <col min="4" max="4" width="32.85546875" style="1" customWidth="1"/>
    <col min="5" max="5" width="29" style="1" customWidth="1"/>
    <col min="6" max="6" width="34.140625" style="1" customWidth="1"/>
    <col min="7" max="7" width="11.42578125" style="1"/>
    <col min="8" max="8" width="15.85546875" style="1" customWidth="1"/>
    <col min="9" max="9" width="20" style="1" customWidth="1"/>
    <col min="10" max="16384" width="11.42578125" style="1"/>
  </cols>
  <sheetData>
    <row r="1" spans="2:9" ht="17.25" customHeight="1" x14ac:dyDescent="0.2">
      <c r="B1" s="1197" t="s">
        <v>2969</v>
      </c>
      <c r="C1" s="1197"/>
      <c r="D1" s="1197"/>
      <c r="E1" s="1197"/>
      <c r="F1" s="1197"/>
    </row>
    <row r="2" spans="2:9" ht="14.25" customHeight="1" x14ac:dyDescent="0.2">
      <c r="B2" s="4" t="s">
        <v>2829</v>
      </c>
      <c r="C2" s="5" t="s">
        <v>2970</v>
      </c>
      <c r="D2" s="5" t="s">
        <v>2971</v>
      </c>
      <c r="E2" s="5" t="s">
        <v>2972</v>
      </c>
      <c r="F2" s="5" t="s">
        <v>2805</v>
      </c>
      <c r="H2" s="1197" t="s">
        <v>2973</v>
      </c>
      <c r="I2" s="1197"/>
    </row>
    <row r="3" spans="2:9" ht="26.25" customHeight="1" x14ac:dyDescent="0.2">
      <c r="B3" s="6">
        <v>1</v>
      </c>
      <c r="C3" s="7" t="s">
        <v>2974</v>
      </c>
      <c r="D3" s="8"/>
      <c r="E3" s="9" t="s">
        <v>2975</v>
      </c>
      <c r="F3" s="10" t="s">
        <v>2976</v>
      </c>
      <c r="H3" s="11"/>
      <c r="I3" s="2" t="s">
        <v>2977</v>
      </c>
    </row>
    <row r="4" spans="2:9" ht="24.75" customHeight="1" x14ac:dyDescent="0.2">
      <c r="B4" s="6">
        <v>2</v>
      </c>
      <c r="C4" s="12" t="s">
        <v>2978</v>
      </c>
      <c r="D4" s="8"/>
      <c r="E4" s="9" t="s">
        <v>2979</v>
      </c>
      <c r="F4" s="13" t="s">
        <v>2980</v>
      </c>
      <c r="H4" s="14"/>
      <c r="I4" s="15" t="s">
        <v>2981</v>
      </c>
    </row>
    <row r="5" spans="2:9" ht="21.75" customHeight="1" x14ac:dyDescent="0.2">
      <c r="B5" s="6">
        <v>3</v>
      </c>
      <c r="C5" s="7" t="s">
        <v>2982</v>
      </c>
      <c r="D5" s="8"/>
      <c r="E5" s="9" t="s">
        <v>2983</v>
      </c>
      <c r="F5" s="1198" t="s">
        <v>2984</v>
      </c>
      <c r="H5" s="16"/>
      <c r="I5" s="2" t="s">
        <v>2985</v>
      </c>
    </row>
    <row r="6" spans="2:9" ht="14.25" customHeight="1" x14ac:dyDescent="0.2">
      <c r="B6" s="6">
        <v>4</v>
      </c>
      <c r="C6" s="7" t="s">
        <v>2986</v>
      </c>
      <c r="D6" s="8"/>
      <c r="E6" s="9" t="s">
        <v>2987</v>
      </c>
      <c r="F6" s="1199"/>
      <c r="H6" s="17"/>
      <c r="I6" s="17"/>
    </row>
    <row r="7" spans="2:9" x14ac:dyDescent="0.2">
      <c r="B7" s="6">
        <v>5</v>
      </c>
      <c r="C7" s="7" t="s">
        <v>2988</v>
      </c>
      <c r="D7" s="8"/>
      <c r="E7" s="9" t="s">
        <v>2983</v>
      </c>
      <c r="F7" s="1200"/>
    </row>
    <row r="8" spans="2:9" ht="25.5" customHeight="1" x14ac:dyDescent="0.2">
      <c r="B8" s="6">
        <v>6</v>
      </c>
      <c r="C8" s="7" t="s">
        <v>2989</v>
      </c>
      <c r="D8" s="8"/>
      <c r="E8" s="9" t="s">
        <v>2990</v>
      </c>
      <c r="F8" s="10" t="s">
        <v>2976</v>
      </c>
    </row>
    <row r="9" spans="2:9" ht="15" customHeight="1" x14ac:dyDescent="0.2">
      <c r="B9" s="6">
        <v>7</v>
      </c>
      <c r="C9" s="18" t="s">
        <v>2991</v>
      </c>
      <c r="D9" s="19" t="s">
        <v>2992</v>
      </c>
      <c r="E9" s="9" t="s">
        <v>2993</v>
      </c>
      <c r="F9" s="20" t="s">
        <v>2994</v>
      </c>
    </row>
    <row r="10" spans="2:9" ht="15" customHeight="1" x14ac:dyDescent="0.2">
      <c r="B10" s="6">
        <v>8</v>
      </c>
      <c r="C10" s="7" t="s">
        <v>2995</v>
      </c>
      <c r="D10" s="21"/>
      <c r="E10" s="9" t="s">
        <v>2996</v>
      </c>
      <c r="F10" s="22" t="s">
        <v>2981</v>
      </c>
    </row>
    <row r="11" spans="2:9" ht="14.25" customHeight="1" x14ac:dyDescent="0.2">
      <c r="B11" s="6">
        <v>10</v>
      </c>
      <c r="C11" s="7" t="s">
        <v>2997</v>
      </c>
      <c r="D11" s="8"/>
      <c r="E11" s="9" t="s">
        <v>2979</v>
      </c>
      <c r="F11" s="23"/>
    </row>
    <row r="12" spans="2:9" ht="12.75" customHeight="1" x14ac:dyDescent="0.2">
      <c r="B12" s="6">
        <v>11</v>
      </c>
      <c r="C12" s="7" t="s">
        <v>2998</v>
      </c>
      <c r="D12" s="24">
        <v>43350</v>
      </c>
      <c r="E12" s="6" t="s">
        <v>2999</v>
      </c>
      <c r="F12" s="25" t="s">
        <v>2994</v>
      </c>
    </row>
    <row r="13" spans="2:9" ht="11.25" customHeight="1" x14ac:dyDescent="0.2">
      <c r="B13" s="6">
        <v>12</v>
      </c>
      <c r="C13" s="7" t="s">
        <v>3000</v>
      </c>
      <c r="D13" s="21"/>
      <c r="E13" s="6" t="s">
        <v>2987</v>
      </c>
      <c r="F13" s="22" t="s">
        <v>2981</v>
      </c>
    </row>
    <row r="14" spans="2:9" ht="13.5" customHeight="1" x14ac:dyDescent="0.2">
      <c r="B14" s="6">
        <v>13</v>
      </c>
      <c r="C14" s="7" t="s">
        <v>3001</v>
      </c>
      <c r="D14" s="26" t="s">
        <v>3002</v>
      </c>
      <c r="E14" s="6" t="s">
        <v>3003</v>
      </c>
      <c r="F14" s="25" t="s">
        <v>2994</v>
      </c>
    </row>
    <row r="15" spans="2:9" ht="13.5" customHeight="1" x14ac:dyDescent="0.2">
      <c r="B15" s="6">
        <v>14</v>
      </c>
      <c r="C15" s="7" t="s">
        <v>3004</v>
      </c>
      <c r="D15" s="21"/>
      <c r="E15" s="6" t="s">
        <v>3005</v>
      </c>
      <c r="F15" s="22" t="s">
        <v>2981</v>
      </c>
    </row>
    <row r="16" spans="2:9" ht="38.25" customHeight="1" x14ac:dyDescent="0.2">
      <c r="B16" s="6">
        <v>15</v>
      </c>
      <c r="C16" s="27" t="s">
        <v>2812</v>
      </c>
      <c r="D16" s="8"/>
      <c r="E16" s="9" t="s">
        <v>3006</v>
      </c>
      <c r="F16" s="28" t="s">
        <v>3007</v>
      </c>
    </row>
    <row r="19" spans="2:5" x14ac:dyDescent="0.2">
      <c r="B19" s="1197" t="s">
        <v>3008</v>
      </c>
      <c r="C19" s="1197"/>
      <c r="D19" s="1197"/>
      <c r="E19" s="1197"/>
    </row>
    <row r="20" spans="2:5" x14ac:dyDescent="0.2">
      <c r="B20" s="4" t="s">
        <v>2829</v>
      </c>
      <c r="C20" s="4" t="s">
        <v>3009</v>
      </c>
      <c r="D20" s="4" t="s">
        <v>2154</v>
      </c>
      <c r="E20" s="4" t="s">
        <v>3010</v>
      </c>
    </row>
    <row r="21" spans="2:5" ht="12.75" customHeight="1" x14ac:dyDescent="0.2">
      <c r="B21" s="6">
        <v>1</v>
      </c>
      <c r="C21" s="21" t="s">
        <v>2814</v>
      </c>
      <c r="D21" s="9" t="s">
        <v>3011</v>
      </c>
      <c r="E21" s="6" t="s">
        <v>3012</v>
      </c>
    </row>
    <row r="22" spans="2:5" ht="11.25" customHeight="1" x14ac:dyDescent="0.2">
      <c r="B22" s="6">
        <v>2</v>
      </c>
      <c r="C22" s="21" t="s">
        <v>2807</v>
      </c>
      <c r="D22" s="9" t="s">
        <v>2807</v>
      </c>
      <c r="E22" s="6" t="s">
        <v>3013</v>
      </c>
    </row>
    <row r="23" spans="2:5" ht="12" customHeight="1" x14ac:dyDescent="0.2">
      <c r="B23" s="6">
        <v>3</v>
      </c>
      <c r="C23" s="21" t="s">
        <v>3014</v>
      </c>
      <c r="D23" s="1201" t="s">
        <v>3015</v>
      </c>
      <c r="E23" s="1202" t="s">
        <v>3016</v>
      </c>
    </row>
    <row r="24" spans="2:5" ht="11.25" customHeight="1" x14ac:dyDescent="0.2">
      <c r="B24" s="6">
        <v>4</v>
      </c>
      <c r="C24" s="21" t="s">
        <v>3017</v>
      </c>
      <c r="D24" s="1201"/>
      <c r="E24" s="1203"/>
    </row>
    <row r="25" spans="2:5" ht="12" customHeight="1" x14ac:dyDescent="0.2">
      <c r="B25" s="6">
        <v>5</v>
      </c>
      <c r="C25" s="21" t="s">
        <v>3018</v>
      </c>
      <c r="D25" s="1201"/>
      <c r="E25" s="1203"/>
    </row>
    <row r="26" spans="2:5" ht="13.5" customHeight="1" x14ac:dyDescent="0.2">
      <c r="B26" s="6">
        <v>6</v>
      </c>
      <c r="C26" s="21" t="s">
        <v>3019</v>
      </c>
      <c r="D26" s="9" t="s">
        <v>2952</v>
      </c>
      <c r="E26" s="1204"/>
    </row>
    <row r="27" spans="2:5" ht="12.75" customHeight="1" x14ac:dyDescent="0.2">
      <c r="B27" s="6">
        <v>7</v>
      </c>
      <c r="C27" s="21" t="s">
        <v>3020</v>
      </c>
      <c r="D27" s="9" t="s">
        <v>3021</v>
      </c>
      <c r="E27" s="6" t="s">
        <v>3022</v>
      </c>
    </row>
  </sheetData>
  <mergeCells count="6">
    <mergeCell ref="B1:F1"/>
    <mergeCell ref="H2:I2"/>
    <mergeCell ref="F5:F7"/>
    <mergeCell ref="B19:E19"/>
    <mergeCell ref="D23:D25"/>
    <mergeCell ref="E23:E26"/>
  </mergeCells>
  <pageMargins left="0.7" right="0.7" top="0.75" bottom="0.75" header="0.3" footer="0.3"/>
  <pageSetup paperSize="12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9"/>
  <dimension ref="A6:K18"/>
  <sheetViews>
    <sheetView workbookViewId="0">
      <selection activeCell="B17" sqref="B17"/>
    </sheetView>
  </sheetViews>
  <sheetFormatPr baseColWidth="10" defaultColWidth="11.42578125" defaultRowHeight="12.75" x14ac:dyDescent="0.2"/>
  <cols>
    <col min="2" max="2" width="32.85546875" customWidth="1"/>
    <col min="3" max="3" width="21.140625" customWidth="1"/>
    <col min="4" max="4" width="27.5703125" customWidth="1"/>
    <col min="5" max="5" width="22.85546875" customWidth="1"/>
    <col min="8" max="8" width="29.5703125" customWidth="1"/>
    <col min="9" max="9" width="38.140625" customWidth="1"/>
    <col min="10" max="10" width="22.42578125" customWidth="1"/>
    <col min="11" max="11" width="35" customWidth="1"/>
  </cols>
  <sheetData>
    <row r="6" spans="1:11" x14ac:dyDescent="0.2">
      <c r="A6" s="32" t="s">
        <v>2829</v>
      </c>
      <c r="B6" s="32" t="s">
        <v>2804</v>
      </c>
      <c r="C6" s="32" t="s">
        <v>2831</v>
      </c>
      <c r="D6" s="32" t="s">
        <v>3023</v>
      </c>
      <c r="E6" s="32" t="s">
        <v>3024</v>
      </c>
      <c r="G6" s="1205" t="s">
        <v>3008</v>
      </c>
      <c r="H6" s="1205"/>
      <c r="I6" s="1205"/>
      <c r="J6" s="1205"/>
      <c r="K6" s="1205"/>
    </row>
    <row r="7" spans="1:11" ht="23.25" customHeight="1" x14ac:dyDescent="0.2">
      <c r="A7" s="30">
        <v>1</v>
      </c>
      <c r="B7" s="36" t="s">
        <v>2874</v>
      </c>
      <c r="C7" s="30" t="s">
        <v>3025</v>
      </c>
      <c r="D7" s="37" t="s">
        <v>3026</v>
      </c>
      <c r="E7" s="42">
        <v>0.33333333333333331</v>
      </c>
      <c r="G7" s="52" t="s">
        <v>2829</v>
      </c>
      <c r="H7" s="52" t="s">
        <v>3009</v>
      </c>
      <c r="I7" s="52" t="s">
        <v>2154</v>
      </c>
      <c r="J7" s="52" t="s">
        <v>3010</v>
      </c>
      <c r="K7" s="52" t="s">
        <v>3027</v>
      </c>
    </row>
    <row r="8" spans="1:11" ht="55.5" customHeight="1" x14ac:dyDescent="0.2">
      <c r="A8" s="30">
        <v>2</v>
      </c>
      <c r="B8" s="34" t="s">
        <v>3028</v>
      </c>
      <c r="C8" s="30" t="s">
        <v>3029</v>
      </c>
      <c r="D8" s="31">
        <v>43794</v>
      </c>
      <c r="E8" s="43">
        <v>0.33333333333333331</v>
      </c>
      <c r="G8" s="44">
        <v>1</v>
      </c>
      <c r="H8" s="3" t="s">
        <v>3030</v>
      </c>
      <c r="I8" s="3" t="s">
        <v>3011</v>
      </c>
      <c r="J8" s="3" t="s">
        <v>3031</v>
      </c>
      <c r="K8" s="49" t="s">
        <v>3032</v>
      </c>
    </row>
    <row r="9" spans="1:11" ht="56.25" customHeight="1" x14ac:dyDescent="0.2">
      <c r="A9" s="30">
        <v>3</v>
      </c>
      <c r="B9" s="34" t="s">
        <v>3033</v>
      </c>
      <c r="C9" s="30" t="s">
        <v>3034</v>
      </c>
      <c r="D9" s="31">
        <v>43782</v>
      </c>
      <c r="E9" s="41">
        <v>0.33333333333333331</v>
      </c>
      <c r="G9" s="44">
        <v>2</v>
      </c>
      <c r="H9" s="3" t="s">
        <v>3035</v>
      </c>
      <c r="I9" s="3" t="s">
        <v>2807</v>
      </c>
      <c r="J9" s="3" t="s">
        <v>3036</v>
      </c>
      <c r="K9" s="33" t="s">
        <v>3037</v>
      </c>
    </row>
    <row r="10" spans="1:11" ht="26.25" customHeight="1" x14ac:dyDescent="0.2">
      <c r="A10" s="30"/>
      <c r="B10" s="34" t="s">
        <v>3038</v>
      </c>
      <c r="C10" s="30" t="s">
        <v>3029</v>
      </c>
      <c r="D10" s="31">
        <v>43782</v>
      </c>
      <c r="E10" s="41">
        <v>0.58333333333333337</v>
      </c>
      <c r="G10" s="44">
        <v>3</v>
      </c>
      <c r="H10" s="44" t="s">
        <v>3014</v>
      </c>
      <c r="I10" s="3" t="s">
        <v>3015</v>
      </c>
      <c r="J10" s="44" t="s">
        <v>3034</v>
      </c>
      <c r="K10" s="33" t="s">
        <v>3039</v>
      </c>
    </row>
    <row r="11" spans="1:11" ht="39.75" customHeight="1" x14ac:dyDescent="0.2">
      <c r="A11" s="30">
        <v>4</v>
      </c>
      <c r="B11" s="34" t="s">
        <v>3040</v>
      </c>
      <c r="C11" s="30" t="s">
        <v>3041</v>
      </c>
      <c r="D11" s="38">
        <v>43782</v>
      </c>
      <c r="E11" s="41">
        <v>0.33333333333333331</v>
      </c>
      <c r="G11" s="45">
        <v>4</v>
      </c>
      <c r="H11" s="46" t="s">
        <v>3004</v>
      </c>
      <c r="I11" s="47" t="s">
        <v>3042</v>
      </c>
      <c r="J11" s="3" t="s">
        <v>3043</v>
      </c>
      <c r="K11" s="33" t="s">
        <v>3044</v>
      </c>
    </row>
    <row r="12" spans="1:11" ht="37.5" customHeight="1" x14ac:dyDescent="0.2">
      <c r="A12" s="30"/>
      <c r="B12" s="34" t="s">
        <v>3045</v>
      </c>
      <c r="C12" s="29" t="s">
        <v>3046</v>
      </c>
      <c r="D12" s="38">
        <v>43782</v>
      </c>
      <c r="E12" s="41">
        <v>0.33333333333333331</v>
      </c>
      <c r="G12" s="44" t="s">
        <v>3047</v>
      </c>
      <c r="H12" s="44" t="s">
        <v>3048</v>
      </c>
      <c r="I12" s="3" t="s">
        <v>3049</v>
      </c>
      <c r="J12" s="3" t="s">
        <v>3034</v>
      </c>
      <c r="K12" s="33" t="s">
        <v>3050</v>
      </c>
    </row>
    <row r="13" spans="1:11" ht="17.25" customHeight="1" x14ac:dyDescent="0.2">
      <c r="A13" s="30">
        <v>6</v>
      </c>
      <c r="B13" s="34" t="s">
        <v>3051</v>
      </c>
      <c r="C13" s="30" t="s">
        <v>3052</v>
      </c>
      <c r="D13" s="31">
        <v>43782</v>
      </c>
      <c r="E13" s="41">
        <v>0.58333333333333337</v>
      </c>
      <c r="G13" s="44">
        <v>6</v>
      </c>
      <c r="H13" s="44" t="s">
        <v>61</v>
      </c>
      <c r="I13" s="3" t="s">
        <v>61</v>
      </c>
      <c r="J13" s="3" t="s">
        <v>3034</v>
      </c>
      <c r="K13" s="50" t="s">
        <v>3053</v>
      </c>
    </row>
    <row r="14" spans="1:11" ht="20.25" customHeight="1" x14ac:dyDescent="0.2">
      <c r="A14" s="30">
        <v>7</v>
      </c>
      <c r="B14" s="34" t="s">
        <v>3054</v>
      </c>
      <c r="C14" s="30" t="s">
        <v>3055</v>
      </c>
      <c r="D14" s="31">
        <v>43782</v>
      </c>
      <c r="E14" s="41">
        <v>0.66666666666666663</v>
      </c>
      <c r="G14" s="3">
        <v>7</v>
      </c>
      <c r="H14" s="3" t="s">
        <v>3056</v>
      </c>
      <c r="I14" s="49" t="s">
        <v>2811</v>
      </c>
      <c r="J14" s="3" t="s">
        <v>3057</v>
      </c>
      <c r="K14" s="50" t="s">
        <v>3058</v>
      </c>
    </row>
    <row r="15" spans="1:11" ht="18.75" customHeight="1" x14ac:dyDescent="0.2">
      <c r="A15" s="30">
        <v>10</v>
      </c>
      <c r="B15" s="34" t="s">
        <v>3059</v>
      </c>
      <c r="C15" s="30" t="s">
        <v>3060</v>
      </c>
      <c r="D15" s="31">
        <v>43783</v>
      </c>
      <c r="E15" s="41">
        <v>0.60416666666666663</v>
      </c>
      <c r="G15" s="3"/>
      <c r="H15" s="3" t="s">
        <v>3061</v>
      </c>
      <c r="I15" s="3" t="s">
        <v>3062</v>
      </c>
      <c r="J15" s="3"/>
      <c r="K15" s="50" t="s">
        <v>3058</v>
      </c>
    </row>
    <row r="16" spans="1:11" ht="27" customHeight="1" x14ac:dyDescent="0.2">
      <c r="A16" s="30">
        <v>11</v>
      </c>
      <c r="B16" s="34" t="s">
        <v>3063</v>
      </c>
      <c r="C16" s="30" t="s">
        <v>3064</v>
      </c>
      <c r="D16" s="40">
        <v>43787</v>
      </c>
      <c r="E16" s="41">
        <v>0.58333333333333337</v>
      </c>
      <c r="G16" s="48"/>
      <c r="H16" s="3" t="s">
        <v>3065</v>
      </c>
      <c r="I16" s="49" t="s">
        <v>3066</v>
      </c>
      <c r="J16" s="49" t="s">
        <v>3067</v>
      </c>
      <c r="K16" s="51" t="s">
        <v>3068</v>
      </c>
    </row>
    <row r="17" spans="1:5" ht="20.25" customHeight="1" x14ac:dyDescent="0.2">
      <c r="A17" s="55">
        <v>12</v>
      </c>
      <c r="B17" s="56" t="s">
        <v>3000</v>
      </c>
      <c r="C17" s="55" t="s">
        <v>3069</v>
      </c>
      <c r="D17" s="57">
        <v>43789</v>
      </c>
      <c r="E17" s="58">
        <v>0.58333333333333337</v>
      </c>
    </row>
    <row r="18" spans="1:5" ht="18" customHeight="1" x14ac:dyDescent="0.2">
      <c r="A18" s="30">
        <v>13</v>
      </c>
      <c r="B18" s="34" t="s">
        <v>3020</v>
      </c>
      <c r="C18" s="35" t="s">
        <v>3070</v>
      </c>
      <c r="D18" s="39">
        <v>43791</v>
      </c>
      <c r="E18" s="41">
        <v>0.33333333333333331</v>
      </c>
    </row>
  </sheetData>
  <mergeCells count="1">
    <mergeCell ref="G6:K6"/>
  </mergeCells>
  <pageMargins left="0.7" right="0.7" top="0.75" bottom="0.75" header="0.3" footer="0.3"/>
  <pageSetup paperSize="12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583A-259C-4248-AAF6-545B2CD2C98E}">
  <sheetPr>
    <tabColor theme="0"/>
  </sheetPr>
  <dimension ref="A1:AS16"/>
  <sheetViews>
    <sheetView topLeftCell="X1" zoomScale="77" zoomScaleNormal="77" workbookViewId="0">
      <selection activeCell="X13" sqref="X13"/>
    </sheetView>
  </sheetViews>
  <sheetFormatPr baseColWidth="10" defaultColWidth="17.5703125" defaultRowHeight="12.75" x14ac:dyDescent="0.2"/>
  <cols>
    <col min="1" max="1" width="12.140625" style="53" customWidth="1"/>
    <col min="2" max="2" width="13.140625" style="53" customWidth="1"/>
    <col min="3" max="3" width="46.28515625" style="53" customWidth="1"/>
    <col min="4" max="4" width="44.140625" style="53" customWidth="1"/>
    <col min="5" max="5" width="36.7109375" style="53" customWidth="1"/>
    <col min="6" max="6" width="33.5703125" style="53" customWidth="1"/>
    <col min="7" max="7" width="32.85546875" style="53" customWidth="1"/>
    <col min="8" max="8" width="17.42578125" style="53" customWidth="1"/>
    <col min="9" max="9" width="34" style="53" customWidth="1"/>
    <col min="10" max="10" width="19.7109375" style="53" customWidth="1"/>
    <col min="11" max="11" width="21.42578125" style="53" customWidth="1"/>
    <col min="12" max="12" width="30.28515625" style="53" customWidth="1"/>
    <col min="13" max="14" width="15.28515625" style="53" customWidth="1"/>
    <col min="15" max="15" width="18" style="53" customWidth="1"/>
    <col min="16" max="17" width="14" style="53" customWidth="1"/>
    <col min="18" max="18" width="16" style="53" customWidth="1"/>
    <col min="19" max="19" width="15.28515625" style="53" customWidth="1"/>
    <col min="20" max="20" width="17.85546875" style="53" customWidth="1"/>
    <col min="21" max="21" width="16.28515625" style="53" customWidth="1"/>
    <col min="22" max="23" width="14.85546875" style="53" customWidth="1"/>
    <col min="24" max="24" width="111.42578125" style="53" customWidth="1"/>
    <col min="25" max="25" width="56.42578125" style="53" customWidth="1"/>
    <col min="26" max="26" width="17.5703125" style="53" customWidth="1"/>
    <col min="27" max="27" width="18.85546875" style="53" customWidth="1"/>
    <col min="28" max="28" width="20.5703125" style="53" customWidth="1"/>
    <col min="29" max="29" width="21.140625" style="53" customWidth="1"/>
    <col min="30" max="30" width="72.42578125" style="295" customWidth="1"/>
    <col min="31" max="37" width="9.140625"/>
    <col min="38" max="41" width="9.140625" style="325"/>
    <col min="42" max="42" width="28.5703125" style="325" customWidth="1"/>
    <col min="43" max="43" width="42" style="325" customWidth="1"/>
    <col min="44" max="44" width="17.5703125" style="325" customWidth="1"/>
    <col min="45" max="45" width="51.42578125" style="325" customWidth="1"/>
    <col min="46" max="46" width="8.5703125" customWidth="1"/>
    <col min="47" max="47" width="7.140625" customWidth="1"/>
    <col min="48" max="48" width="20.85546875" customWidth="1"/>
    <col min="49" max="49" width="17.5703125" customWidth="1"/>
    <col min="50" max="50" width="22.42578125" customWidth="1"/>
  </cols>
  <sheetData>
    <row r="1" spans="1:30" ht="118.5" customHeight="1" x14ac:dyDescent="0.2">
      <c r="A1" s="858" t="s">
        <v>0</v>
      </c>
      <c r="B1" s="858"/>
      <c r="C1" s="858" t="s">
        <v>1</v>
      </c>
      <c r="D1" s="858"/>
      <c r="E1" s="858"/>
      <c r="F1" s="858"/>
      <c r="G1" s="858"/>
      <c r="H1" s="858"/>
      <c r="I1" s="858"/>
      <c r="J1" s="858"/>
      <c r="K1" s="858"/>
      <c r="L1" s="858"/>
      <c r="M1" s="858"/>
      <c r="N1" s="858"/>
      <c r="O1" s="858"/>
      <c r="P1" s="858"/>
      <c r="Q1" s="858" t="s">
        <v>2</v>
      </c>
      <c r="R1" s="858"/>
      <c r="S1" s="858"/>
      <c r="T1" s="858"/>
      <c r="U1" s="858"/>
      <c r="V1" s="858"/>
      <c r="W1" s="858"/>
      <c r="X1" s="858"/>
      <c r="Y1" s="858"/>
      <c r="Z1" s="858" t="s">
        <v>2</v>
      </c>
      <c r="AA1" s="858"/>
      <c r="AB1" s="858"/>
      <c r="AC1" s="858"/>
      <c r="AD1" s="858"/>
    </row>
    <row r="2" spans="1:30" ht="15.75" customHeight="1" x14ac:dyDescent="0.2">
      <c r="A2" s="858" t="s">
        <v>197</v>
      </c>
      <c r="B2" s="858"/>
      <c r="C2" s="858" t="s">
        <v>4</v>
      </c>
      <c r="D2" s="862"/>
      <c r="E2" s="862"/>
      <c r="F2" s="862"/>
      <c r="G2" s="858" t="s">
        <v>5</v>
      </c>
      <c r="H2" s="858"/>
      <c r="I2" s="858" t="s">
        <v>6</v>
      </c>
      <c r="J2" s="858"/>
      <c r="K2" s="858"/>
      <c r="L2" s="858"/>
      <c r="M2" s="858"/>
      <c r="N2" s="858"/>
      <c r="O2" s="858"/>
      <c r="P2" s="858"/>
      <c r="Q2" s="858"/>
      <c r="R2" s="858"/>
      <c r="S2" s="858"/>
      <c r="T2" s="858"/>
      <c r="U2" s="858"/>
      <c r="V2" s="858"/>
      <c r="W2" s="858"/>
      <c r="X2" s="858"/>
      <c r="Y2" s="858"/>
      <c r="Z2" s="858"/>
      <c r="AA2" s="858"/>
      <c r="AB2" s="858"/>
      <c r="AC2" s="858"/>
      <c r="AD2" s="858"/>
    </row>
    <row r="3" spans="1:30" ht="18" customHeight="1" x14ac:dyDescent="0.2">
      <c r="A3" s="859" t="s">
        <v>7</v>
      </c>
      <c r="B3" s="859"/>
      <c r="C3" s="858"/>
      <c r="D3" s="858"/>
      <c r="E3" s="858"/>
      <c r="F3" s="858"/>
      <c r="G3" s="859" t="s">
        <v>9</v>
      </c>
      <c r="H3" s="859"/>
      <c r="I3" s="860">
        <v>43109</v>
      </c>
      <c r="J3" s="858"/>
      <c r="K3" s="858"/>
      <c r="L3" s="858"/>
      <c r="M3" s="858"/>
      <c r="N3" s="858"/>
      <c r="O3" s="859" t="s">
        <v>10</v>
      </c>
      <c r="P3" s="859"/>
      <c r="Q3" s="902" t="s">
        <v>315</v>
      </c>
      <c r="R3" s="903"/>
      <c r="S3" s="903"/>
      <c r="T3" s="903"/>
      <c r="U3" s="903"/>
      <c r="V3" s="903"/>
      <c r="W3" s="904"/>
      <c r="X3" s="131" t="s">
        <v>11</v>
      </c>
      <c r="Y3" s="301" t="s">
        <v>316</v>
      </c>
      <c r="Z3" s="858"/>
      <c r="AA3" s="858"/>
      <c r="AB3" s="858"/>
      <c r="AC3" s="858"/>
      <c r="AD3" s="858"/>
    </row>
    <row r="4" spans="1:30" ht="18" customHeight="1" x14ac:dyDescent="0.2">
      <c r="A4" s="859" t="s">
        <v>13</v>
      </c>
      <c r="B4" s="859"/>
      <c r="C4" s="858" t="s">
        <v>317</v>
      </c>
      <c r="D4" s="858"/>
      <c r="E4" s="858"/>
      <c r="F4" s="858"/>
      <c r="G4" s="859" t="s">
        <v>15</v>
      </c>
      <c r="H4" s="859"/>
      <c r="I4" s="860">
        <v>44915</v>
      </c>
      <c r="J4" s="860"/>
      <c r="K4" s="860"/>
      <c r="L4" s="860"/>
      <c r="M4" s="860"/>
      <c r="N4" s="860"/>
      <c r="O4" s="859" t="s">
        <v>16</v>
      </c>
      <c r="P4" s="859"/>
      <c r="Q4" s="861" t="s">
        <v>17</v>
      </c>
      <c r="R4" s="861"/>
      <c r="S4" s="861"/>
      <c r="T4" s="857" t="s">
        <v>18</v>
      </c>
      <c r="U4" s="857"/>
      <c r="V4" s="858"/>
      <c r="W4" s="858"/>
      <c r="X4" s="858"/>
      <c r="Y4" s="858"/>
      <c r="Z4" s="858"/>
      <c r="AA4" s="858"/>
      <c r="AB4" s="858"/>
      <c r="AC4" s="858"/>
      <c r="AD4" s="858"/>
    </row>
    <row r="5" spans="1:30" ht="20.25" customHeight="1" x14ac:dyDescent="0.2">
      <c r="A5" s="848" t="s">
        <v>19</v>
      </c>
      <c r="B5" s="849"/>
      <c r="C5" s="849"/>
      <c r="D5" s="849"/>
      <c r="E5" s="849"/>
      <c r="F5" s="849"/>
      <c r="G5" s="849"/>
      <c r="H5" s="849"/>
      <c r="I5" s="849"/>
      <c r="J5" s="849"/>
      <c r="K5" s="849"/>
      <c r="L5" s="849"/>
      <c r="M5" s="849"/>
      <c r="N5" s="850"/>
      <c r="O5" s="851" t="s">
        <v>20</v>
      </c>
      <c r="P5" s="852"/>
      <c r="Q5" s="852"/>
      <c r="R5" s="852"/>
      <c r="S5" s="852"/>
      <c r="T5" s="852"/>
      <c r="U5" s="852"/>
      <c r="V5" s="852"/>
      <c r="W5" s="852"/>
      <c r="X5" s="852"/>
      <c r="Y5" s="853"/>
      <c r="Z5" s="854" t="s">
        <v>21</v>
      </c>
      <c r="AA5" s="855"/>
      <c r="AB5" s="855"/>
      <c r="AC5" s="855"/>
      <c r="AD5" s="856"/>
    </row>
    <row r="6" spans="1:30" ht="117" customHeight="1" x14ac:dyDescent="0.2">
      <c r="A6" s="134" t="s">
        <v>22</v>
      </c>
      <c r="B6" s="227" t="s">
        <v>23</v>
      </c>
      <c r="C6" s="134" t="s">
        <v>24</v>
      </c>
      <c r="D6" s="134" t="s">
        <v>25</v>
      </c>
      <c r="E6" s="134" t="s">
        <v>26</v>
      </c>
      <c r="F6" s="134" t="s">
        <v>27</v>
      </c>
      <c r="G6" s="134" t="s">
        <v>28</v>
      </c>
      <c r="H6" s="134" t="s">
        <v>29</v>
      </c>
      <c r="I6" s="134" t="s">
        <v>30</v>
      </c>
      <c r="J6" s="134" t="s">
        <v>31</v>
      </c>
      <c r="K6" s="134" t="s">
        <v>32</v>
      </c>
      <c r="L6" s="134" t="s">
        <v>33</v>
      </c>
      <c r="M6" s="134" t="s">
        <v>34</v>
      </c>
      <c r="N6" s="134" t="s">
        <v>35</v>
      </c>
      <c r="O6" s="135" t="s">
        <v>36</v>
      </c>
      <c r="P6" s="136" t="s">
        <v>37</v>
      </c>
      <c r="Q6" s="135" t="s">
        <v>38</v>
      </c>
      <c r="R6" s="135" t="s">
        <v>39</v>
      </c>
      <c r="S6" s="135" t="s">
        <v>40</v>
      </c>
      <c r="T6" s="135" t="s">
        <v>41</v>
      </c>
      <c r="U6" s="135" t="s">
        <v>42</v>
      </c>
      <c r="V6" s="135" t="s">
        <v>43</v>
      </c>
      <c r="W6" s="135" t="s">
        <v>44</v>
      </c>
      <c r="X6" s="135" t="s">
        <v>45</v>
      </c>
      <c r="Y6" s="137" t="s">
        <v>46</v>
      </c>
      <c r="Z6" s="138" t="s">
        <v>47</v>
      </c>
      <c r="AA6" s="138" t="s">
        <v>48</v>
      </c>
      <c r="AB6" s="138" t="s">
        <v>49</v>
      </c>
      <c r="AC6" s="138" t="s">
        <v>50</v>
      </c>
      <c r="AD6" s="323" t="s">
        <v>51</v>
      </c>
    </row>
    <row r="7" spans="1:30" s="226" customFormat="1" ht="264.75" customHeight="1" x14ac:dyDescent="0.2">
      <c r="A7" s="486" t="s">
        <v>202</v>
      </c>
      <c r="B7" s="487" t="s">
        <v>53</v>
      </c>
      <c r="C7" s="488" t="s">
        <v>318</v>
      </c>
      <c r="D7" s="143"/>
      <c r="E7" s="143" t="s">
        <v>319</v>
      </c>
      <c r="F7" s="143" t="s">
        <v>320</v>
      </c>
      <c r="G7" s="143" t="s">
        <v>321</v>
      </c>
      <c r="H7" s="143">
        <v>92</v>
      </c>
      <c r="I7" s="143" t="s">
        <v>322</v>
      </c>
      <c r="J7" s="478" t="s">
        <v>110</v>
      </c>
      <c r="K7" s="478" t="s">
        <v>61</v>
      </c>
      <c r="L7" s="143" t="s">
        <v>323</v>
      </c>
      <c r="M7" s="356">
        <v>43109</v>
      </c>
      <c r="N7" s="356">
        <v>44915</v>
      </c>
      <c r="O7" s="489">
        <f>(N7-M7)/7</f>
        <v>258</v>
      </c>
      <c r="P7" s="356" t="s">
        <v>315</v>
      </c>
      <c r="Q7" s="490">
        <v>45107</v>
      </c>
      <c r="R7" s="391">
        <f t="shared" ref="R7:R15" si="0">(Q7-M7)/7-O7</f>
        <v>27.428571428571445</v>
      </c>
      <c r="S7" s="392" t="str">
        <f t="shared" ref="S7:S15" ca="1" si="1">IF((N7-TODAY())/7&gt;=0,"En tiempo","Alerta")</f>
        <v>Alerta</v>
      </c>
      <c r="T7" s="375">
        <v>92</v>
      </c>
      <c r="U7" s="393">
        <f>IF(T7/H7=1,1,+T7/H7)</f>
        <v>1</v>
      </c>
      <c r="V7" s="393">
        <f>IF(R7&gt;O7,0%,IF(R7&lt;=0,"100%",1-(R7/O7)))</f>
        <v>0.89368770764119598</v>
      </c>
      <c r="W7" s="393" t="str">
        <f>IF(Q7&lt;=N7,"Cumple","Incumple")</f>
        <v>Incumple</v>
      </c>
      <c r="X7" s="394" t="s">
        <v>324</v>
      </c>
      <c r="Y7" s="272" t="s">
        <v>325</v>
      </c>
      <c r="Z7" s="393">
        <f>(U7+V7)/2</f>
        <v>0.94684385382059799</v>
      </c>
      <c r="AA7" s="395">
        <v>1</v>
      </c>
      <c r="AB7" s="395">
        <v>0.9</v>
      </c>
      <c r="AC7" s="396">
        <f>AVERAGE(Z7:AB7)</f>
        <v>0.94894795127353271</v>
      </c>
      <c r="AD7" s="397" t="s">
        <v>326</v>
      </c>
    </row>
    <row r="8" spans="1:30" s="226" customFormat="1" ht="335.25" customHeight="1" x14ac:dyDescent="0.2">
      <c r="A8" s="486" t="s">
        <v>202</v>
      </c>
      <c r="B8" s="487" t="s">
        <v>53</v>
      </c>
      <c r="C8" s="488" t="s">
        <v>318</v>
      </c>
      <c r="D8" s="143"/>
      <c r="E8" s="143" t="s">
        <v>327</v>
      </c>
      <c r="F8" s="143" t="s">
        <v>328</v>
      </c>
      <c r="G8" s="143" t="s">
        <v>329</v>
      </c>
      <c r="H8" s="143">
        <v>4657</v>
      </c>
      <c r="I8" s="143" t="s">
        <v>330</v>
      </c>
      <c r="J8" s="478" t="s">
        <v>110</v>
      </c>
      <c r="K8" s="478" t="s">
        <v>61</v>
      </c>
      <c r="L8" s="143" t="s">
        <v>331</v>
      </c>
      <c r="M8" s="356">
        <v>43405</v>
      </c>
      <c r="N8" s="356">
        <v>43889</v>
      </c>
      <c r="O8" s="489">
        <f t="shared" ref="O8:O14" si="2">(N8-M8)/7</f>
        <v>69.142857142857139</v>
      </c>
      <c r="P8" s="356" t="s">
        <v>315</v>
      </c>
      <c r="Q8" s="490">
        <v>45290</v>
      </c>
      <c r="R8" s="391">
        <f t="shared" si="0"/>
        <v>200.14285714285714</v>
      </c>
      <c r="S8" s="392" t="str">
        <f t="shared" ca="1" si="1"/>
        <v>Alerta</v>
      </c>
      <c r="T8" s="375">
        <v>3630</v>
      </c>
      <c r="U8" s="393">
        <v>1</v>
      </c>
      <c r="V8" s="393">
        <f t="shared" ref="V8:V15" si="3">IF(R8&gt;O8,0%,IF(R8&lt;=0,"100%",1-(R8/O8)))</f>
        <v>0</v>
      </c>
      <c r="W8" s="393" t="str">
        <f t="shared" ref="W8:W15" si="4">IF(Q8&lt;=N8,"Cumple","Incumple")</f>
        <v>Incumple</v>
      </c>
      <c r="X8" s="398" t="s">
        <v>332</v>
      </c>
      <c r="Y8" s="143" t="s">
        <v>333</v>
      </c>
      <c r="Z8" s="393">
        <f>(U8+V8)/2</f>
        <v>0.5</v>
      </c>
      <c r="AA8" s="395">
        <v>1</v>
      </c>
      <c r="AB8" s="395">
        <v>0.9</v>
      </c>
      <c r="AC8" s="396">
        <f t="shared" ref="AC8:AC15" si="5">AVERAGE(Z8:AB8)</f>
        <v>0.79999999999999993</v>
      </c>
      <c r="AD8" s="324" t="s">
        <v>334</v>
      </c>
    </row>
    <row r="9" spans="1:30" s="226" customFormat="1" ht="334.5" customHeight="1" x14ac:dyDescent="0.2">
      <c r="A9" s="486" t="s">
        <v>202</v>
      </c>
      <c r="B9" s="487" t="s">
        <v>53</v>
      </c>
      <c r="C9" s="488" t="s">
        <v>318</v>
      </c>
      <c r="D9" s="143"/>
      <c r="E9" s="143" t="s">
        <v>327</v>
      </c>
      <c r="F9" s="143" t="s">
        <v>335</v>
      </c>
      <c r="G9" s="143" t="s">
        <v>336</v>
      </c>
      <c r="H9" s="143">
        <v>4657</v>
      </c>
      <c r="I9" s="143" t="s">
        <v>330</v>
      </c>
      <c r="J9" s="478" t="s">
        <v>110</v>
      </c>
      <c r="K9" s="478" t="s">
        <v>61</v>
      </c>
      <c r="L9" s="143" t="s">
        <v>337</v>
      </c>
      <c r="M9" s="356">
        <v>43647</v>
      </c>
      <c r="N9" s="356">
        <v>44185</v>
      </c>
      <c r="O9" s="489">
        <f t="shared" si="2"/>
        <v>76.857142857142861</v>
      </c>
      <c r="P9" s="356" t="s">
        <v>338</v>
      </c>
      <c r="Q9" s="490">
        <v>45290</v>
      </c>
      <c r="R9" s="391">
        <f t="shared" si="0"/>
        <v>157.85714285714286</v>
      </c>
      <c r="S9" s="392" t="str">
        <f t="shared" ca="1" si="1"/>
        <v>Alerta</v>
      </c>
      <c r="T9" s="375">
        <v>3630</v>
      </c>
      <c r="U9" s="393">
        <v>1</v>
      </c>
      <c r="V9" s="393">
        <f t="shared" si="3"/>
        <v>0</v>
      </c>
      <c r="W9" s="393" t="str">
        <f t="shared" si="4"/>
        <v>Incumple</v>
      </c>
      <c r="X9" s="399" t="s">
        <v>339</v>
      </c>
      <c r="Y9" s="143" t="s">
        <v>333</v>
      </c>
      <c r="Z9" s="393">
        <f>(U9+V9)/2</f>
        <v>0.5</v>
      </c>
      <c r="AA9" s="395">
        <v>1</v>
      </c>
      <c r="AB9" s="395">
        <v>0.9</v>
      </c>
      <c r="AC9" s="396">
        <f t="shared" si="5"/>
        <v>0.79999999999999993</v>
      </c>
      <c r="AD9" s="397" t="s">
        <v>340</v>
      </c>
    </row>
    <row r="10" spans="1:30" s="226" customFormat="1" ht="175.5" customHeight="1" x14ac:dyDescent="0.2">
      <c r="A10" s="486" t="s">
        <v>202</v>
      </c>
      <c r="B10" s="487" t="s">
        <v>53</v>
      </c>
      <c r="C10" s="488" t="s">
        <v>341</v>
      </c>
      <c r="D10" s="143"/>
      <c r="E10" s="143" t="s">
        <v>342</v>
      </c>
      <c r="F10" s="143" t="s">
        <v>343</v>
      </c>
      <c r="G10" s="143" t="s">
        <v>344</v>
      </c>
      <c r="H10" s="143">
        <v>14</v>
      </c>
      <c r="I10" s="143" t="s">
        <v>345</v>
      </c>
      <c r="J10" s="478" t="s">
        <v>110</v>
      </c>
      <c r="K10" s="478" t="s">
        <v>61</v>
      </c>
      <c r="L10" s="143" t="s">
        <v>346</v>
      </c>
      <c r="M10" s="356">
        <v>43474</v>
      </c>
      <c r="N10" s="356">
        <v>44915</v>
      </c>
      <c r="O10" s="489">
        <f t="shared" si="2"/>
        <v>205.85714285714286</v>
      </c>
      <c r="P10" s="356" t="s">
        <v>315</v>
      </c>
      <c r="Q10" s="356">
        <v>43829</v>
      </c>
      <c r="R10" s="391">
        <f t="shared" si="0"/>
        <v>-155.14285714285714</v>
      </c>
      <c r="S10" s="392" t="str">
        <f t="shared" ca="1" si="1"/>
        <v>Alerta</v>
      </c>
      <c r="T10" s="375">
        <v>14</v>
      </c>
      <c r="U10" s="393">
        <f t="shared" ref="U10:U15" si="6">IF(T10/H10=1,1,+T10/H10)</f>
        <v>1</v>
      </c>
      <c r="V10" s="393" t="str">
        <f t="shared" si="3"/>
        <v>100%</v>
      </c>
      <c r="W10" s="393" t="str">
        <f t="shared" si="4"/>
        <v>Cumple</v>
      </c>
      <c r="X10" s="398" t="s">
        <v>347</v>
      </c>
      <c r="Y10" s="143" t="s">
        <v>348</v>
      </c>
      <c r="Z10" s="393">
        <f t="shared" ref="Z10:Z15" si="7">(U10+V10)/2</f>
        <v>1</v>
      </c>
      <c r="AA10" s="395">
        <v>1</v>
      </c>
      <c r="AB10" s="395">
        <v>1</v>
      </c>
      <c r="AC10" s="396">
        <f t="shared" si="5"/>
        <v>1</v>
      </c>
      <c r="AD10" s="397" t="s">
        <v>349</v>
      </c>
    </row>
    <row r="11" spans="1:30" s="226" customFormat="1" ht="130.5" customHeight="1" x14ac:dyDescent="0.2">
      <c r="A11" s="486" t="s">
        <v>202</v>
      </c>
      <c r="B11" s="487" t="s">
        <v>53</v>
      </c>
      <c r="C11" s="488" t="s">
        <v>341</v>
      </c>
      <c r="D11" s="143"/>
      <c r="E11" s="143" t="s">
        <v>342</v>
      </c>
      <c r="F11" s="143" t="s">
        <v>350</v>
      </c>
      <c r="G11" s="143" t="s">
        <v>351</v>
      </c>
      <c r="H11" s="143">
        <v>25</v>
      </c>
      <c r="I11" s="143" t="s">
        <v>352</v>
      </c>
      <c r="J11" s="478" t="s">
        <v>110</v>
      </c>
      <c r="K11" s="478" t="s">
        <v>61</v>
      </c>
      <c r="L11" s="143" t="s">
        <v>353</v>
      </c>
      <c r="M11" s="356">
        <v>43839</v>
      </c>
      <c r="N11" s="356">
        <v>44915</v>
      </c>
      <c r="O11" s="489">
        <f t="shared" si="2"/>
        <v>153.71428571428572</v>
      </c>
      <c r="P11" s="356" t="s">
        <v>338</v>
      </c>
      <c r="Q11" s="356">
        <v>43829</v>
      </c>
      <c r="R11" s="391">
        <f t="shared" si="0"/>
        <v>-155.14285714285714</v>
      </c>
      <c r="S11" s="392" t="str">
        <f t="shared" ca="1" si="1"/>
        <v>Alerta</v>
      </c>
      <c r="T11" s="375">
        <v>25</v>
      </c>
      <c r="U11" s="393">
        <f t="shared" si="6"/>
        <v>1</v>
      </c>
      <c r="V11" s="393" t="str">
        <f t="shared" si="3"/>
        <v>100%</v>
      </c>
      <c r="W11" s="393" t="str">
        <f t="shared" si="4"/>
        <v>Cumple</v>
      </c>
      <c r="X11" s="398" t="s">
        <v>354</v>
      </c>
      <c r="Y11" s="143" t="s">
        <v>355</v>
      </c>
      <c r="Z11" s="393">
        <f t="shared" si="7"/>
        <v>1</v>
      </c>
      <c r="AA11" s="395">
        <v>1</v>
      </c>
      <c r="AB11" s="395">
        <v>1</v>
      </c>
      <c r="AC11" s="396">
        <f t="shared" si="5"/>
        <v>1</v>
      </c>
      <c r="AD11" s="397" t="s">
        <v>349</v>
      </c>
    </row>
    <row r="12" spans="1:30" s="226" customFormat="1" ht="195.75" customHeight="1" x14ac:dyDescent="0.2">
      <c r="A12" s="486" t="s">
        <v>202</v>
      </c>
      <c r="B12" s="487" t="s">
        <v>53</v>
      </c>
      <c r="C12" s="488" t="s">
        <v>341</v>
      </c>
      <c r="D12" s="143"/>
      <c r="E12" s="143" t="s">
        <v>342</v>
      </c>
      <c r="F12" s="143" t="s">
        <v>356</v>
      </c>
      <c r="G12" s="143" t="s">
        <v>357</v>
      </c>
      <c r="H12" s="143">
        <v>6</v>
      </c>
      <c r="I12" s="143" t="s">
        <v>352</v>
      </c>
      <c r="J12" s="478" t="s">
        <v>110</v>
      </c>
      <c r="K12" s="478" t="s">
        <v>61</v>
      </c>
      <c r="L12" s="143" t="s">
        <v>358</v>
      </c>
      <c r="M12" s="480">
        <v>43132</v>
      </c>
      <c r="N12" s="356">
        <v>44915</v>
      </c>
      <c r="O12" s="489">
        <f t="shared" si="2"/>
        <v>254.71428571428572</v>
      </c>
      <c r="P12" s="356" t="s">
        <v>315</v>
      </c>
      <c r="Q12" s="356">
        <v>43921</v>
      </c>
      <c r="R12" s="391">
        <f t="shared" si="0"/>
        <v>-142</v>
      </c>
      <c r="S12" s="392" t="str">
        <f t="shared" ca="1" si="1"/>
        <v>Alerta</v>
      </c>
      <c r="T12" s="375">
        <v>6</v>
      </c>
      <c r="U12" s="393">
        <f t="shared" si="6"/>
        <v>1</v>
      </c>
      <c r="V12" s="393" t="str">
        <f t="shared" si="3"/>
        <v>100%</v>
      </c>
      <c r="W12" s="393" t="str">
        <f t="shared" si="4"/>
        <v>Cumple</v>
      </c>
      <c r="X12" s="399" t="s">
        <v>359</v>
      </c>
      <c r="Y12" s="143" t="s">
        <v>360</v>
      </c>
      <c r="Z12" s="393">
        <f t="shared" si="7"/>
        <v>1</v>
      </c>
      <c r="AA12" s="395">
        <v>1</v>
      </c>
      <c r="AB12" s="395">
        <v>1</v>
      </c>
      <c r="AC12" s="396">
        <f t="shared" si="5"/>
        <v>1</v>
      </c>
      <c r="AD12" s="397" t="s">
        <v>349</v>
      </c>
    </row>
    <row r="13" spans="1:30" s="226" customFormat="1" ht="234" customHeight="1" x14ac:dyDescent="0.2">
      <c r="A13" s="486" t="s">
        <v>202</v>
      </c>
      <c r="B13" s="487" t="s">
        <v>53</v>
      </c>
      <c r="C13" s="488" t="s">
        <v>361</v>
      </c>
      <c r="D13" s="143"/>
      <c r="E13" s="143" t="s">
        <v>361</v>
      </c>
      <c r="F13" s="143" t="s">
        <v>362</v>
      </c>
      <c r="G13" s="143" t="s">
        <v>363</v>
      </c>
      <c r="H13" s="143">
        <v>3777</v>
      </c>
      <c r="I13" s="143" t="s">
        <v>364</v>
      </c>
      <c r="J13" s="478" t="s">
        <v>110</v>
      </c>
      <c r="K13" s="478" t="s">
        <v>61</v>
      </c>
      <c r="L13" s="143" t="s">
        <v>365</v>
      </c>
      <c r="M13" s="480">
        <v>43497</v>
      </c>
      <c r="N13" s="480">
        <v>44915</v>
      </c>
      <c r="O13" s="489">
        <f t="shared" si="2"/>
        <v>202.57142857142858</v>
      </c>
      <c r="P13" s="356" t="s">
        <v>315</v>
      </c>
      <c r="Q13" s="356">
        <v>43921</v>
      </c>
      <c r="R13" s="391">
        <f t="shared" si="0"/>
        <v>-142</v>
      </c>
      <c r="S13" s="392" t="str">
        <f t="shared" ca="1" si="1"/>
        <v>Alerta</v>
      </c>
      <c r="T13" s="250">
        <v>3777</v>
      </c>
      <c r="U13" s="393">
        <f t="shared" si="6"/>
        <v>1</v>
      </c>
      <c r="V13" s="393" t="str">
        <f t="shared" si="3"/>
        <v>100%</v>
      </c>
      <c r="W13" s="393" t="str">
        <f t="shared" si="4"/>
        <v>Cumple</v>
      </c>
      <c r="X13" s="398" t="s">
        <v>366</v>
      </c>
      <c r="Y13" s="143" t="s">
        <v>367</v>
      </c>
      <c r="Z13" s="393">
        <f t="shared" si="7"/>
        <v>1</v>
      </c>
      <c r="AA13" s="395">
        <v>1</v>
      </c>
      <c r="AB13" s="395">
        <v>1</v>
      </c>
      <c r="AC13" s="396">
        <f t="shared" si="5"/>
        <v>1</v>
      </c>
      <c r="AD13" s="272" t="s">
        <v>368</v>
      </c>
    </row>
    <row r="14" spans="1:30" s="226" customFormat="1" ht="174" customHeight="1" x14ac:dyDescent="0.2">
      <c r="A14" s="486" t="s">
        <v>202</v>
      </c>
      <c r="B14" s="487" t="s">
        <v>53</v>
      </c>
      <c r="C14" s="488" t="s">
        <v>361</v>
      </c>
      <c r="D14" s="143"/>
      <c r="E14" s="143" t="s">
        <v>361</v>
      </c>
      <c r="F14" s="143" t="s">
        <v>369</v>
      </c>
      <c r="G14" s="143" t="s">
        <v>370</v>
      </c>
      <c r="H14" s="143">
        <v>1</v>
      </c>
      <c r="I14" s="143" t="s">
        <v>371</v>
      </c>
      <c r="J14" s="478" t="s">
        <v>110</v>
      </c>
      <c r="K14" s="478" t="s">
        <v>61</v>
      </c>
      <c r="L14" s="143" t="s">
        <v>372</v>
      </c>
      <c r="M14" s="480">
        <v>43497</v>
      </c>
      <c r="N14" s="480">
        <v>44915</v>
      </c>
      <c r="O14" s="489">
        <f t="shared" si="2"/>
        <v>202.57142857142858</v>
      </c>
      <c r="P14" s="356" t="s">
        <v>315</v>
      </c>
      <c r="Q14" s="356">
        <v>43644</v>
      </c>
      <c r="R14" s="391">
        <f t="shared" si="0"/>
        <v>-181.57142857142858</v>
      </c>
      <c r="S14" s="392" t="str">
        <f t="shared" ca="1" si="1"/>
        <v>Alerta</v>
      </c>
      <c r="T14" s="250">
        <v>1</v>
      </c>
      <c r="U14" s="393">
        <f t="shared" si="6"/>
        <v>1</v>
      </c>
      <c r="V14" s="393" t="str">
        <f t="shared" si="3"/>
        <v>100%</v>
      </c>
      <c r="W14" s="393" t="str">
        <f t="shared" si="4"/>
        <v>Cumple</v>
      </c>
      <c r="X14" s="399" t="s">
        <v>373</v>
      </c>
      <c r="Y14" s="143" t="s">
        <v>374</v>
      </c>
      <c r="Z14" s="393">
        <f t="shared" si="7"/>
        <v>1</v>
      </c>
      <c r="AA14" s="395">
        <v>1</v>
      </c>
      <c r="AB14" s="395">
        <v>1</v>
      </c>
      <c r="AC14" s="396">
        <f t="shared" si="5"/>
        <v>1</v>
      </c>
      <c r="AD14" s="272" t="s">
        <v>368</v>
      </c>
    </row>
    <row r="15" spans="1:30" s="226" customFormat="1" ht="395.25" customHeight="1" x14ac:dyDescent="0.2">
      <c r="A15" s="486" t="s">
        <v>202</v>
      </c>
      <c r="B15" s="491" t="s">
        <v>53</v>
      </c>
      <c r="C15" s="488" t="s">
        <v>375</v>
      </c>
      <c r="D15" s="143"/>
      <c r="E15" s="143" t="s">
        <v>376</v>
      </c>
      <c r="F15" s="143" t="s">
        <v>377</v>
      </c>
      <c r="G15" s="143" t="s">
        <v>378</v>
      </c>
      <c r="H15" s="355">
        <v>1</v>
      </c>
      <c r="I15" s="143" t="s">
        <v>379</v>
      </c>
      <c r="J15" s="478" t="s">
        <v>110</v>
      </c>
      <c r="K15" s="478" t="s">
        <v>61</v>
      </c>
      <c r="L15" s="143" t="s">
        <v>380</v>
      </c>
      <c r="M15" s="480">
        <v>43497</v>
      </c>
      <c r="N15" s="480">
        <v>44915</v>
      </c>
      <c r="O15" s="489">
        <f>(N15-M15)/7</f>
        <v>202.57142857142858</v>
      </c>
      <c r="P15" s="356" t="s">
        <v>315</v>
      </c>
      <c r="Q15" s="356">
        <v>43738</v>
      </c>
      <c r="R15" s="391">
        <f t="shared" si="0"/>
        <v>-168.14285714285717</v>
      </c>
      <c r="S15" s="392" t="str">
        <f t="shared" ca="1" si="1"/>
        <v>Alerta</v>
      </c>
      <c r="T15" s="400">
        <v>1</v>
      </c>
      <c r="U15" s="393">
        <f t="shared" si="6"/>
        <v>1</v>
      </c>
      <c r="V15" s="393" t="str">
        <f t="shared" si="3"/>
        <v>100%</v>
      </c>
      <c r="W15" s="393" t="str">
        <f t="shared" si="4"/>
        <v>Cumple</v>
      </c>
      <c r="X15" s="401" t="s">
        <v>381</v>
      </c>
      <c r="Y15" s="143" t="s">
        <v>382</v>
      </c>
      <c r="Z15" s="393">
        <f t="shared" si="7"/>
        <v>1</v>
      </c>
      <c r="AA15" s="395">
        <v>1</v>
      </c>
      <c r="AB15" s="395">
        <v>1</v>
      </c>
      <c r="AC15" s="396">
        <f t="shared" si="5"/>
        <v>1</v>
      </c>
      <c r="AD15" s="272" t="s">
        <v>383</v>
      </c>
    </row>
    <row r="16" spans="1:30" ht="15" x14ac:dyDescent="0.2">
      <c r="G16" s="134" t="s">
        <v>314</v>
      </c>
      <c r="H16" s="145">
        <f>SUM(H7:H15)</f>
        <v>13230</v>
      </c>
      <c r="R16" s="146" t="s">
        <v>195</v>
      </c>
      <c r="S16" s="146"/>
      <c r="T16" s="144">
        <f>SUM(T7:T15)</f>
        <v>11176</v>
      </c>
      <c r="U16" s="142">
        <f>AVERAGE(U7:U15)</f>
        <v>1</v>
      </c>
      <c r="W16" s="142">
        <f>(COUNTIF(W7:W15,"Cumple")*100%)/COUNTA(W7:W15)</f>
        <v>0.66666666666666663</v>
      </c>
      <c r="Z16" s="141">
        <f>(U16+V16)/2</f>
        <v>0.5</v>
      </c>
      <c r="AA16" s="146" t="s">
        <v>195</v>
      </c>
      <c r="AB16" s="146"/>
      <c r="AC16" s="353">
        <f>AVERAGE(AC7:AC15)</f>
        <v>0.94988310569705925</v>
      </c>
    </row>
  </sheetData>
  <autoFilter ref="A6:AD6" xr:uid="{8B3D583A-259C-4248-AAF6-545B2CD2C98E}"/>
  <mergeCells count="26">
    <mergeCell ref="O1:P2"/>
    <mergeCell ref="Q1:Y2"/>
    <mergeCell ref="Z1:AD4"/>
    <mergeCell ref="A2:B2"/>
    <mergeCell ref="C2:F2"/>
    <mergeCell ref="G2:H2"/>
    <mergeCell ref="I2:N2"/>
    <mergeCell ref="A1:B1"/>
    <mergeCell ref="C1:N1"/>
    <mergeCell ref="A3:B3"/>
    <mergeCell ref="C3:F3"/>
    <mergeCell ref="G3:H3"/>
    <mergeCell ref="I3:N3"/>
    <mergeCell ref="O3:P3"/>
    <mergeCell ref="V4:Y4"/>
    <mergeCell ref="Q3:W3"/>
    <mergeCell ref="Z5:AD5"/>
    <mergeCell ref="A4:B4"/>
    <mergeCell ref="C4:F4"/>
    <mergeCell ref="G4:H4"/>
    <mergeCell ref="I4:N4"/>
    <mergeCell ref="O4:P4"/>
    <mergeCell ref="Q4:S4"/>
    <mergeCell ref="T4:U4"/>
    <mergeCell ref="A5:N5"/>
    <mergeCell ref="O5:Y5"/>
  </mergeCells>
  <conditionalFormatting sqref="R7:R15">
    <cfRule type="cellIs" dxfId="455" priority="27" operator="greaterThan">
      <formula>0</formula>
    </cfRule>
    <cfRule type="cellIs" dxfId="454" priority="28" operator="lessThan">
      <formula>0</formula>
    </cfRule>
  </conditionalFormatting>
  <conditionalFormatting sqref="S7:S15">
    <cfRule type="containsText" dxfId="453" priority="25" operator="containsText" text="Alerta">
      <formula>NOT(ISERROR(SEARCH("Alerta",S7)))</formula>
    </cfRule>
    <cfRule type="containsText" dxfId="452" priority="26" operator="containsText" text="En tiempo">
      <formula>NOT(ISERROR(SEARCH("En tiempo",S7)))</formula>
    </cfRule>
  </conditionalFormatting>
  <conditionalFormatting sqref="U7:W15 Y7:Z15 W8:W16 U16 Z16">
    <cfRule type="cellIs" dxfId="451" priority="7" operator="between">
      <formula>0.19</formula>
      <formula>0</formula>
    </cfRule>
    <cfRule type="cellIs" dxfId="450" priority="8" operator="between">
      <formula>0.49</formula>
      <formula>0.2</formula>
    </cfRule>
    <cfRule type="cellIs" dxfId="449" priority="9" operator="between">
      <formula>0.89</formula>
      <formula>0.5</formula>
    </cfRule>
    <cfRule type="cellIs" dxfId="448" priority="10" operator="between">
      <formula>1</formula>
      <formula>0.9</formula>
    </cfRule>
  </conditionalFormatting>
  <conditionalFormatting sqref="W7:W15">
    <cfRule type="containsText" dxfId="447" priority="23" operator="containsText" text="Incumple">
      <formula>NOT(ISERROR(SEARCH("Incumple",W7)))</formula>
    </cfRule>
    <cfRule type="containsText" dxfId="446" priority="24" operator="containsText" text="Cumple">
      <formula>NOT(ISERROR(SEARCH("Cumple",W7)))</formula>
    </cfRule>
  </conditionalFormatting>
  <conditionalFormatting sqref="W16">
    <cfRule type="cellIs" dxfId="445" priority="11" operator="between">
      <formula>0.19</formula>
      <formula>0</formula>
    </cfRule>
    <cfRule type="cellIs" dxfId="444" priority="12" operator="between">
      <formula>0.49</formula>
      <formula>0.2</formula>
    </cfRule>
    <cfRule type="cellIs" dxfId="443" priority="13" operator="between">
      <formula>0.89</formula>
      <formula>0.5</formula>
    </cfRule>
    <cfRule type="cellIs" dxfId="442" priority="14" operator="between">
      <formula>1</formula>
      <formula>0.9</formula>
    </cfRule>
  </conditionalFormatting>
  <conditionalFormatting sqref="AC7:AC16">
    <cfRule type="cellIs" dxfId="441" priority="1" operator="between">
      <formula>0.3</formula>
      <formula>0</formula>
    </cfRule>
    <cfRule type="cellIs" dxfId="440" priority="2" operator="between">
      <formula>0.6999</formula>
      <formula>0.3111</formula>
    </cfRule>
    <cfRule type="cellIs" dxfId="439" priority="3" operator="between">
      <formula>1</formula>
      <formula>0.7</formula>
    </cfRule>
  </conditionalFormatting>
  <dataValidations count="5">
    <dataValidation type="list" allowBlank="1" showInputMessage="1" showErrorMessage="1" errorTitle="Estado" error="No es un estado de los Planes de Mejoramiento" sqref="Q4:S4" xr:uid="{E157F154-A796-4A9C-B970-D09C88003034}">
      <formula1>$AW$4:$AW$7</formula1>
    </dataValidation>
    <dataValidation type="list" allowBlank="1" showInputMessage="1" showErrorMessage="1" sqref="J7:J15" xr:uid="{A18F0162-CABD-40C5-909A-9064767A03ED}">
      <formula1>$AR$4:$AR$15</formula1>
    </dataValidation>
    <dataValidation type="list" allowBlank="1" showInputMessage="1" showErrorMessage="1" sqref="K7:K15" xr:uid="{22EE83B6-D15B-4865-9940-8F81A718402C}">
      <formula1>$AS$4:$AS$15</formula1>
    </dataValidation>
    <dataValidation type="list" allowBlank="1" showInputMessage="1" showErrorMessage="1" sqref="A7:A15" xr:uid="{50261FC1-3BA2-4186-8D57-27370D1F5B97}">
      <formula1>"Autoevaluación,Evaluación de Pares,Auditoría Interna,Evaluación Externa ICONTEC,Auditoría Interna Control Interno,Servicio No Conforme,Auditoría Externa CGR"</formula1>
    </dataValidation>
    <dataValidation type="list" allowBlank="1" showInputMessage="1" showErrorMessage="1" sqref="B7:B15" xr:uid="{2F5F020C-FD5D-44CE-A36E-DDAF5DBA3036}">
      <formula1>"No conformidad,Oportunidad de Mejora,Observación OCI,Hallazgo CGR"</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BD20"/>
  <sheetViews>
    <sheetView topLeftCell="P1" zoomScale="80" zoomScaleNormal="80" zoomScaleSheetLayoutView="49" workbookViewId="0">
      <selection activeCell="X7" sqref="X7"/>
    </sheetView>
  </sheetViews>
  <sheetFormatPr baseColWidth="10" defaultColWidth="9.140625" defaultRowHeight="12.75" x14ac:dyDescent="0.2"/>
  <cols>
    <col min="1" max="1" width="12.140625" style="53" customWidth="1"/>
    <col min="2" max="2" width="11.42578125" style="53" customWidth="1"/>
    <col min="3" max="3" width="46.28515625" style="53" customWidth="1"/>
    <col min="4" max="4" width="44.140625" style="53" customWidth="1"/>
    <col min="5" max="5" width="36.7109375" style="53" customWidth="1"/>
    <col min="6" max="6" width="33.5703125" style="53" customWidth="1"/>
    <col min="7" max="7" width="32.85546875" style="53" customWidth="1"/>
    <col min="8" max="8" width="13" style="53" customWidth="1"/>
    <col min="9" max="9" width="26.5703125" style="53" customWidth="1"/>
    <col min="10" max="10" width="16.140625" style="53" customWidth="1"/>
    <col min="11" max="11" width="21.42578125" style="53" customWidth="1"/>
    <col min="12" max="12" width="20.5703125" style="53" customWidth="1"/>
    <col min="13" max="13" width="12.7109375" style="53" customWidth="1"/>
    <col min="14" max="14" width="14" style="53" customWidth="1"/>
    <col min="15" max="15" width="12" style="53" customWidth="1"/>
    <col min="16" max="16" width="14.42578125" style="53" customWidth="1"/>
    <col min="17" max="17" width="13.140625" style="53" customWidth="1"/>
    <col min="18" max="18" width="11.5703125" style="53" customWidth="1"/>
    <col min="19" max="19" width="11.140625" style="53" customWidth="1"/>
    <col min="20" max="20" width="15" style="53" customWidth="1"/>
    <col min="21" max="21" width="19.42578125" style="53" customWidth="1"/>
    <col min="22" max="22" width="14.28515625" style="53" customWidth="1"/>
    <col min="23" max="23" width="16.7109375" style="53" customWidth="1"/>
    <col min="24" max="24" width="60.140625" style="53" customWidth="1"/>
    <col min="25" max="25" width="100" style="53" customWidth="1"/>
    <col min="26" max="26" width="12.28515625" style="53" customWidth="1"/>
    <col min="27" max="27" width="13.42578125" style="53" customWidth="1"/>
    <col min="28" max="28" width="14.140625" style="53" customWidth="1"/>
    <col min="29" max="29" width="14.7109375" style="53" customWidth="1"/>
    <col min="30" max="30" width="72.42578125" style="53" customWidth="1"/>
    <col min="31" max="31" width="17.5703125" style="53" customWidth="1"/>
    <col min="32" max="41" width="17.5703125" style="53"/>
    <col min="42" max="42" width="28.5703125" style="53" customWidth="1"/>
    <col min="43" max="43" width="42" style="53" customWidth="1"/>
    <col min="44" max="44" width="9.140625" style="53" customWidth="1"/>
    <col min="45" max="45" width="51.42578125" style="359" customWidth="1"/>
    <col min="46" max="46" width="8.5703125" style="359" customWidth="1"/>
    <col min="47" max="47" width="7.140625" style="359" customWidth="1"/>
    <col min="48" max="48" width="20.85546875" style="359" customWidth="1"/>
    <col min="49" max="49" width="9.140625" style="359" customWidth="1"/>
    <col min="50" max="50" width="22.42578125" style="359" customWidth="1"/>
    <col min="51" max="56" width="9.140625" style="359"/>
    <col min="57" max="16384" width="9.140625" style="53"/>
  </cols>
  <sheetData>
    <row r="1" spans="1:30" ht="105.6" customHeight="1" x14ac:dyDescent="0.2">
      <c r="A1" s="861" t="s">
        <v>0</v>
      </c>
      <c r="B1" s="861"/>
      <c r="C1" s="861" t="s">
        <v>1</v>
      </c>
      <c r="D1" s="861"/>
      <c r="E1" s="861"/>
      <c r="F1" s="861"/>
      <c r="G1" s="861"/>
      <c r="H1" s="861"/>
      <c r="I1" s="861"/>
      <c r="J1" s="861"/>
      <c r="K1" s="861"/>
      <c r="L1" s="861"/>
      <c r="M1" s="861"/>
      <c r="N1" s="861"/>
      <c r="O1" s="861"/>
      <c r="P1" s="861"/>
      <c r="Q1" s="861" t="s">
        <v>2</v>
      </c>
      <c r="R1" s="861"/>
      <c r="S1" s="861"/>
      <c r="T1" s="861"/>
      <c r="U1" s="861"/>
      <c r="V1" s="861"/>
      <c r="W1" s="861"/>
      <c r="X1" s="861"/>
      <c r="Y1" s="861"/>
      <c r="Z1" s="861" t="s">
        <v>2</v>
      </c>
      <c r="AA1" s="861"/>
      <c r="AB1" s="861"/>
      <c r="AC1" s="861"/>
      <c r="AD1" s="861"/>
    </row>
    <row r="2" spans="1:30" ht="20.100000000000001" customHeight="1" x14ac:dyDescent="0.2">
      <c r="A2" s="861" t="s">
        <v>197</v>
      </c>
      <c r="B2" s="861"/>
      <c r="C2" s="861" t="s">
        <v>4</v>
      </c>
      <c r="D2" s="909"/>
      <c r="E2" s="909"/>
      <c r="F2" s="909"/>
      <c r="G2" s="861" t="s">
        <v>5</v>
      </c>
      <c r="H2" s="861"/>
      <c r="I2" s="861" t="s">
        <v>6</v>
      </c>
      <c r="J2" s="861"/>
      <c r="K2" s="861"/>
      <c r="L2" s="861"/>
      <c r="M2" s="861"/>
      <c r="N2" s="861"/>
      <c r="O2" s="861"/>
      <c r="P2" s="861"/>
      <c r="Q2" s="861"/>
      <c r="R2" s="861"/>
      <c r="S2" s="861"/>
      <c r="T2" s="861"/>
      <c r="U2" s="861"/>
      <c r="V2" s="861"/>
      <c r="W2" s="861"/>
      <c r="X2" s="861"/>
      <c r="Y2" s="861"/>
      <c r="Z2" s="861"/>
      <c r="AA2" s="861"/>
      <c r="AB2" s="861"/>
      <c r="AC2" s="861"/>
      <c r="AD2" s="861"/>
    </row>
    <row r="3" spans="1:30" ht="25.5" customHeight="1" x14ac:dyDescent="0.2">
      <c r="A3" s="907" t="s">
        <v>7</v>
      </c>
      <c r="B3" s="907"/>
      <c r="C3" s="861" t="s">
        <v>384</v>
      </c>
      <c r="D3" s="861"/>
      <c r="E3" s="861"/>
      <c r="F3" s="861"/>
      <c r="G3" s="907" t="s">
        <v>9</v>
      </c>
      <c r="H3" s="907"/>
      <c r="I3" s="908">
        <v>42955</v>
      </c>
      <c r="J3" s="861"/>
      <c r="K3" s="861"/>
      <c r="L3" s="861"/>
      <c r="M3" s="861"/>
      <c r="N3" s="861"/>
      <c r="O3" s="907" t="s">
        <v>10</v>
      </c>
      <c r="P3" s="907"/>
      <c r="Q3" s="908">
        <v>45286</v>
      </c>
      <c r="R3" s="908"/>
      <c r="S3" s="908"/>
      <c r="T3" s="908"/>
      <c r="U3" s="908"/>
      <c r="V3" s="908"/>
      <c r="W3" s="907" t="s">
        <v>11</v>
      </c>
      <c r="X3" s="907"/>
      <c r="Y3" s="164" t="s">
        <v>385</v>
      </c>
      <c r="Z3" s="861"/>
      <c r="AA3" s="861"/>
      <c r="AB3" s="861"/>
      <c r="AC3" s="861"/>
      <c r="AD3" s="861"/>
    </row>
    <row r="4" spans="1:30" ht="42" customHeight="1" x14ac:dyDescent="0.2">
      <c r="A4" s="907" t="s">
        <v>13</v>
      </c>
      <c r="B4" s="907"/>
      <c r="C4" s="861" t="s">
        <v>386</v>
      </c>
      <c r="D4" s="861"/>
      <c r="E4" s="861"/>
      <c r="F4" s="861"/>
      <c r="G4" s="907" t="s">
        <v>15</v>
      </c>
      <c r="H4" s="907"/>
      <c r="I4" s="908" t="s">
        <v>387</v>
      </c>
      <c r="J4" s="908"/>
      <c r="K4" s="908"/>
      <c r="L4" s="908"/>
      <c r="M4" s="908"/>
      <c r="N4" s="908"/>
      <c r="O4" s="907" t="s">
        <v>16</v>
      </c>
      <c r="P4" s="907"/>
      <c r="Q4" s="861" t="s">
        <v>388</v>
      </c>
      <c r="R4" s="861"/>
      <c r="S4" s="861"/>
      <c r="T4" s="905" t="s">
        <v>18</v>
      </c>
      <c r="U4" s="905"/>
      <c r="V4" s="906" t="s">
        <v>3124</v>
      </c>
      <c r="W4" s="906"/>
      <c r="X4" s="906"/>
      <c r="Y4" s="906"/>
      <c r="Z4" s="861"/>
      <c r="AA4" s="861"/>
      <c r="AB4" s="861"/>
      <c r="AC4" s="861"/>
      <c r="AD4" s="861"/>
    </row>
    <row r="5" spans="1:30" ht="28.5" customHeight="1" x14ac:dyDescent="0.2">
      <c r="A5" s="218" t="s">
        <v>19</v>
      </c>
      <c r="B5" s="218"/>
      <c r="C5" s="218"/>
      <c r="D5" s="218"/>
      <c r="E5" s="218"/>
      <c r="F5" s="218"/>
      <c r="G5" s="218"/>
      <c r="H5" s="218"/>
      <c r="I5" s="218"/>
      <c r="J5" s="218"/>
      <c r="K5" s="218"/>
      <c r="L5" s="218"/>
      <c r="M5" s="218"/>
      <c r="N5" s="218"/>
      <c r="O5" s="219" t="s">
        <v>20</v>
      </c>
      <c r="P5" s="219"/>
      <c r="Q5" s="219"/>
      <c r="R5" s="219"/>
      <c r="S5" s="219"/>
      <c r="T5" s="219"/>
      <c r="U5" s="219"/>
      <c r="V5" s="219"/>
      <c r="W5" s="219"/>
      <c r="X5" s="219"/>
      <c r="Y5" s="219"/>
      <c r="Z5" s="220" t="s">
        <v>21</v>
      </c>
      <c r="AA5" s="220"/>
      <c r="AB5" s="220"/>
      <c r="AC5" s="220"/>
      <c r="AD5" s="220"/>
    </row>
    <row r="6" spans="1:30" ht="102" customHeight="1" x14ac:dyDescent="0.2">
      <c r="A6" s="165" t="s">
        <v>22</v>
      </c>
      <c r="B6" s="165" t="s">
        <v>23</v>
      </c>
      <c r="C6" s="165" t="s">
        <v>24</v>
      </c>
      <c r="D6" s="165" t="s">
        <v>25</v>
      </c>
      <c r="E6" s="165" t="s">
        <v>26</v>
      </c>
      <c r="F6" s="165" t="s">
        <v>27</v>
      </c>
      <c r="G6" s="165" t="s">
        <v>28</v>
      </c>
      <c r="H6" s="165" t="s">
        <v>29</v>
      </c>
      <c r="I6" s="165" t="s">
        <v>30</v>
      </c>
      <c r="J6" s="165" t="s">
        <v>31</v>
      </c>
      <c r="K6" s="165" t="s">
        <v>32</v>
      </c>
      <c r="L6" s="165" t="s">
        <v>33</v>
      </c>
      <c r="M6" s="165" t="s">
        <v>34</v>
      </c>
      <c r="N6" s="165" t="s">
        <v>35</v>
      </c>
      <c r="O6" s="166" t="s">
        <v>36</v>
      </c>
      <c r="P6" s="166" t="s">
        <v>37</v>
      </c>
      <c r="Q6" s="166" t="s">
        <v>38</v>
      </c>
      <c r="R6" s="166" t="s">
        <v>39</v>
      </c>
      <c r="S6" s="166" t="s">
        <v>40</v>
      </c>
      <c r="T6" s="166" t="s">
        <v>41</v>
      </c>
      <c r="U6" s="166" t="s">
        <v>42</v>
      </c>
      <c r="V6" s="166" t="s">
        <v>43</v>
      </c>
      <c r="W6" s="166" t="s">
        <v>44</v>
      </c>
      <c r="X6" s="166" t="s">
        <v>45</v>
      </c>
      <c r="Y6" s="166" t="s">
        <v>46</v>
      </c>
      <c r="Z6" s="167" t="s">
        <v>47</v>
      </c>
      <c r="AA6" s="167" t="s">
        <v>48</v>
      </c>
      <c r="AB6" s="167" t="s">
        <v>49</v>
      </c>
      <c r="AC6" s="167" t="s">
        <v>50</v>
      </c>
      <c r="AD6" s="167" t="s">
        <v>51</v>
      </c>
    </row>
    <row r="7" spans="1:30" s="359" customFormat="1" ht="210.75" customHeight="1" x14ac:dyDescent="0.2">
      <c r="A7" s="425" t="s">
        <v>52</v>
      </c>
      <c r="B7" s="425" t="s">
        <v>53</v>
      </c>
      <c r="C7" s="257" t="s">
        <v>389</v>
      </c>
      <c r="D7" s="257" t="s">
        <v>390</v>
      </c>
      <c r="E7" s="257" t="s">
        <v>391</v>
      </c>
      <c r="F7" s="257" t="s">
        <v>392</v>
      </c>
      <c r="G7" s="257" t="s">
        <v>393</v>
      </c>
      <c r="H7" s="257">
        <v>1</v>
      </c>
      <c r="I7" s="258" t="s">
        <v>394</v>
      </c>
      <c r="J7" s="258" t="s">
        <v>60</v>
      </c>
      <c r="K7" s="258" t="s">
        <v>215</v>
      </c>
      <c r="L7" s="258"/>
      <c r="M7" s="492">
        <v>44432</v>
      </c>
      <c r="N7" s="492">
        <v>44796</v>
      </c>
      <c r="O7" s="482">
        <f>(N7-M7)/7</f>
        <v>52</v>
      </c>
      <c r="P7" s="492">
        <v>44742</v>
      </c>
      <c r="Q7" s="492">
        <v>44742</v>
      </c>
      <c r="R7" s="367">
        <f t="shared" ref="R7:R19" si="0">(Q7-M7)/7-O7</f>
        <v>-7.7142857142857153</v>
      </c>
      <c r="S7" s="368" t="str">
        <f ca="1">IF((N7-TODAY())/7&gt;=0,"En tiempo","Alerta")</f>
        <v>Alerta</v>
      </c>
      <c r="T7" s="402">
        <v>1</v>
      </c>
      <c r="U7" s="363">
        <f>IF(T7/H7=1,1,+T7/H7)</f>
        <v>1</v>
      </c>
      <c r="V7" s="369" t="str">
        <f>IF(R7&gt;O7,0%,IF(R7&lt;=0,"100%",1-(R7/O7)))</f>
        <v>100%</v>
      </c>
      <c r="W7" s="370" t="str">
        <f>IF(Q7&lt;=N7,"Cumple","Incumple")</f>
        <v>Cumple</v>
      </c>
      <c r="X7" s="253" t="s">
        <v>395</v>
      </c>
      <c r="Y7" s="254" t="s">
        <v>396</v>
      </c>
      <c r="Z7" s="369">
        <f>(U7+V7)/2</f>
        <v>1</v>
      </c>
      <c r="AA7" s="371">
        <v>1</v>
      </c>
      <c r="AB7" s="371">
        <v>0.8</v>
      </c>
      <c r="AC7" s="372">
        <f>AVERAGE(Z7:AB7)</f>
        <v>0.93333333333333324</v>
      </c>
      <c r="AD7" s="354" t="s">
        <v>397</v>
      </c>
    </row>
    <row r="8" spans="1:30" s="359" customFormat="1" ht="142.5" x14ac:dyDescent="0.2">
      <c r="A8" s="425" t="s">
        <v>52</v>
      </c>
      <c r="B8" s="425" t="s">
        <v>53</v>
      </c>
      <c r="C8" s="257" t="s">
        <v>389</v>
      </c>
      <c r="D8" s="257" t="s">
        <v>398</v>
      </c>
      <c r="E8" s="257" t="s">
        <v>399</v>
      </c>
      <c r="F8" s="257" t="s">
        <v>400</v>
      </c>
      <c r="G8" s="257" t="s">
        <v>401</v>
      </c>
      <c r="H8" s="493">
        <v>1</v>
      </c>
      <c r="I8" s="258" t="s">
        <v>394</v>
      </c>
      <c r="J8" s="258" t="s">
        <v>60</v>
      </c>
      <c r="K8" s="258" t="s">
        <v>215</v>
      </c>
      <c r="L8" s="494"/>
      <c r="M8" s="492">
        <v>44432</v>
      </c>
      <c r="N8" s="492">
        <v>44796</v>
      </c>
      <c r="O8" s="482">
        <f t="shared" ref="O8:O19" si="1">(N8-M8)/7</f>
        <v>52</v>
      </c>
      <c r="P8" s="492">
        <v>45282</v>
      </c>
      <c r="Q8" s="495">
        <v>45282</v>
      </c>
      <c r="R8" s="367">
        <f t="shared" si="0"/>
        <v>69.428571428571431</v>
      </c>
      <c r="S8" s="368" t="str">
        <f t="shared" ref="S8:S19" ca="1" si="2">IF((N8-TODAY())/7&gt;=0,"En tiempo","Alerta")</f>
        <v>Alerta</v>
      </c>
      <c r="T8" s="402">
        <v>1</v>
      </c>
      <c r="U8" s="363">
        <f t="shared" ref="U8:U12" si="3">IF(T8/H8=1,1,+T8/H8)</f>
        <v>1</v>
      </c>
      <c r="V8" s="369">
        <f>IF(R8&gt;O8,0%,IF(R8&lt;=0,"100%",1-(R8/O8)))</f>
        <v>0</v>
      </c>
      <c r="W8" s="370" t="str">
        <f>IF(P8&lt;=N8,"Cumple","Incumple")</f>
        <v>Incumple</v>
      </c>
      <c r="X8" s="253" t="s">
        <v>402</v>
      </c>
      <c r="Y8" s="255" t="s">
        <v>403</v>
      </c>
      <c r="Z8" s="369">
        <f t="shared" ref="Z8:Z12" si="4">(U8+V8)/2</f>
        <v>0.5</v>
      </c>
      <c r="AA8" s="371"/>
      <c r="AB8" s="371"/>
      <c r="AC8" s="403"/>
      <c r="AD8" s="354" t="s">
        <v>404</v>
      </c>
    </row>
    <row r="9" spans="1:30" s="359" customFormat="1" ht="277.5" customHeight="1" x14ac:dyDescent="0.2">
      <c r="A9" s="425" t="s">
        <v>52</v>
      </c>
      <c r="B9" s="425" t="s">
        <v>53</v>
      </c>
      <c r="C9" s="257" t="s">
        <v>405</v>
      </c>
      <c r="D9" s="257" t="s">
        <v>406</v>
      </c>
      <c r="E9" s="257" t="s">
        <v>407</v>
      </c>
      <c r="F9" s="257" t="s">
        <v>408</v>
      </c>
      <c r="G9" s="257" t="s">
        <v>409</v>
      </c>
      <c r="H9" s="493">
        <v>1</v>
      </c>
      <c r="I9" s="258" t="s">
        <v>410</v>
      </c>
      <c r="J9" s="258" t="s">
        <v>60</v>
      </c>
      <c r="K9" s="258" t="s">
        <v>215</v>
      </c>
      <c r="L9" s="494"/>
      <c r="M9" s="492">
        <v>44432</v>
      </c>
      <c r="N9" s="492">
        <v>44796</v>
      </c>
      <c r="O9" s="482">
        <f t="shared" si="1"/>
        <v>52</v>
      </c>
      <c r="P9" s="492">
        <v>45275</v>
      </c>
      <c r="Q9" s="495">
        <v>45272</v>
      </c>
      <c r="R9" s="367">
        <f t="shared" si="0"/>
        <v>68</v>
      </c>
      <c r="S9" s="368" t="str">
        <f t="shared" ca="1" si="2"/>
        <v>Alerta</v>
      </c>
      <c r="T9" s="402">
        <v>1</v>
      </c>
      <c r="U9" s="363">
        <f t="shared" si="3"/>
        <v>1</v>
      </c>
      <c r="V9" s="369">
        <f>IF(R9&gt;O9,0%,IF(R9&lt;=0,"100%",1-(R9/O9)))</f>
        <v>0</v>
      </c>
      <c r="W9" s="370" t="str">
        <f>IF(P9&lt;=N9,"Cumple","Incumple")</f>
        <v>Incumple</v>
      </c>
      <c r="X9" s="253" t="s">
        <v>411</v>
      </c>
      <c r="Y9" s="252" t="s">
        <v>412</v>
      </c>
      <c r="Z9" s="369">
        <f>(U9+V9)/2</f>
        <v>0.5</v>
      </c>
      <c r="AA9" s="371">
        <v>0.5</v>
      </c>
      <c r="AB9" s="371">
        <v>0.3</v>
      </c>
      <c r="AC9" s="372">
        <f>AVERAGE(Z9:AB9)</f>
        <v>0.43333333333333335</v>
      </c>
      <c r="AD9" s="354" t="s">
        <v>413</v>
      </c>
    </row>
    <row r="10" spans="1:30" s="359" customFormat="1" ht="303.75" customHeight="1" x14ac:dyDescent="0.2">
      <c r="A10" s="425" t="s">
        <v>52</v>
      </c>
      <c r="B10" s="425" t="s">
        <v>53</v>
      </c>
      <c r="C10" s="257" t="s">
        <v>414</v>
      </c>
      <c r="D10" s="257" t="s">
        <v>415</v>
      </c>
      <c r="E10" s="257" t="s">
        <v>416</v>
      </c>
      <c r="F10" s="257" t="s">
        <v>417</v>
      </c>
      <c r="G10" s="257" t="s">
        <v>418</v>
      </c>
      <c r="H10" s="257">
        <v>1</v>
      </c>
      <c r="I10" s="258" t="s">
        <v>410</v>
      </c>
      <c r="J10" s="258" t="s">
        <v>60</v>
      </c>
      <c r="K10" s="258" t="s">
        <v>215</v>
      </c>
      <c r="L10" s="494"/>
      <c r="M10" s="492">
        <v>44073</v>
      </c>
      <c r="N10" s="492">
        <v>44407</v>
      </c>
      <c r="O10" s="482">
        <f t="shared" si="1"/>
        <v>47.714285714285715</v>
      </c>
      <c r="P10" s="492">
        <v>45275</v>
      </c>
      <c r="Q10" s="495">
        <v>45275</v>
      </c>
      <c r="R10" s="367">
        <f t="shared" si="0"/>
        <v>124</v>
      </c>
      <c r="S10" s="368" t="str">
        <f t="shared" ca="1" si="2"/>
        <v>Alerta</v>
      </c>
      <c r="T10" s="402">
        <v>0.8</v>
      </c>
      <c r="U10" s="363">
        <f t="shared" si="3"/>
        <v>0.8</v>
      </c>
      <c r="V10" s="369">
        <f>IF(R10&gt;O10,0%,IF(R10&lt;=0,"100%",1-(R10/O10)))</f>
        <v>0</v>
      </c>
      <c r="W10" s="370" t="str">
        <f t="shared" ref="W10" si="5">IF(Q10&lt;=N10,"Cumple","Incumple")</f>
        <v>Incumple</v>
      </c>
      <c r="X10" s="253" t="s">
        <v>419</v>
      </c>
      <c r="Y10" s="253" t="s">
        <v>420</v>
      </c>
      <c r="Z10" s="369">
        <f t="shared" si="4"/>
        <v>0.4</v>
      </c>
      <c r="AA10" s="371"/>
      <c r="AB10" s="371"/>
      <c r="AC10" s="403"/>
      <c r="AD10" s="354" t="s">
        <v>404</v>
      </c>
    </row>
    <row r="11" spans="1:30" s="359" customFormat="1" ht="210.75" customHeight="1" x14ac:dyDescent="0.2">
      <c r="A11" s="425" t="s">
        <v>52</v>
      </c>
      <c r="B11" s="425" t="s">
        <v>53</v>
      </c>
      <c r="C11" s="257" t="s">
        <v>421</v>
      </c>
      <c r="D11" s="268" t="s">
        <v>422</v>
      </c>
      <c r="E11" s="257" t="s">
        <v>423</v>
      </c>
      <c r="F11" s="257" t="s">
        <v>424</v>
      </c>
      <c r="G11" s="257" t="s">
        <v>425</v>
      </c>
      <c r="H11" s="257">
        <v>1</v>
      </c>
      <c r="I11" s="258" t="s">
        <v>426</v>
      </c>
      <c r="J11" s="258" t="s">
        <v>60</v>
      </c>
      <c r="K11" s="258" t="s">
        <v>215</v>
      </c>
      <c r="L11" s="494"/>
      <c r="M11" s="492">
        <v>44432</v>
      </c>
      <c r="N11" s="492">
        <v>44796</v>
      </c>
      <c r="O11" s="482">
        <f t="shared" si="1"/>
        <v>52</v>
      </c>
      <c r="P11" s="492">
        <v>44742</v>
      </c>
      <c r="Q11" s="492">
        <v>44742</v>
      </c>
      <c r="R11" s="367">
        <f t="shared" si="0"/>
        <v>-7.7142857142857153</v>
      </c>
      <c r="S11" s="368" t="str">
        <f t="shared" ca="1" si="2"/>
        <v>Alerta</v>
      </c>
      <c r="T11" s="402">
        <v>1</v>
      </c>
      <c r="U11" s="363">
        <f t="shared" si="3"/>
        <v>1</v>
      </c>
      <c r="V11" s="369" t="str">
        <f t="shared" ref="V11:V12" si="6">IF(R11&gt;O11,0%,IF(R11&lt;=0,"100%",1-(R11/O11)))</f>
        <v>100%</v>
      </c>
      <c r="W11" s="370" t="str">
        <f>IF(Q11&lt;=N11,"Cumple","Incumple")</f>
        <v>Cumple</v>
      </c>
      <c r="X11" s="256" t="s">
        <v>427</v>
      </c>
      <c r="Y11" s="257" t="s">
        <v>428</v>
      </c>
      <c r="Z11" s="369">
        <f t="shared" si="4"/>
        <v>1</v>
      </c>
      <c r="AA11" s="371">
        <v>1</v>
      </c>
      <c r="AB11" s="371">
        <v>0.6</v>
      </c>
      <c r="AC11" s="372">
        <f>AVERAGE(Z11:AB11)</f>
        <v>0.8666666666666667</v>
      </c>
      <c r="AD11" s="354" t="s">
        <v>429</v>
      </c>
    </row>
    <row r="12" spans="1:30" s="359" customFormat="1" ht="200.25" customHeight="1" x14ac:dyDescent="0.2">
      <c r="A12" s="425" t="s">
        <v>52</v>
      </c>
      <c r="B12" s="425" t="s">
        <v>53</v>
      </c>
      <c r="C12" s="257" t="s">
        <v>430</v>
      </c>
      <c r="D12" s="268" t="s">
        <v>431</v>
      </c>
      <c r="E12" s="257" t="s">
        <v>432</v>
      </c>
      <c r="F12" s="257" t="s">
        <v>433</v>
      </c>
      <c r="G12" s="257" t="s">
        <v>425</v>
      </c>
      <c r="H12" s="257">
        <v>1</v>
      </c>
      <c r="I12" s="258" t="s">
        <v>426</v>
      </c>
      <c r="J12" s="258" t="s">
        <v>60</v>
      </c>
      <c r="K12" s="258" t="s">
        <v>215</v>
      </c>
      <c r="L12" s="494"/>
      <c r="M12" s="492">
        <v>44432</v>
      </c>
      <c r="N12" s="492">
        <v>44796</v>
      </c>
      <c r="O12" s="482">
        <f t="shared" si="1"/>
        <v>52</v>
      </c>
      <c r="P12" s="492">
        <v>44742</v>
      </c>
      <c r="Q12" s="492">
        <v>44742</v>
      </c>
      <c r="R12" s="367">
        <f t="shared" si="0"/>
        <v>-7.7142857142857153</v>
      </c>
      <c r="S12" s="368" t="str">
        <f t="shared" ca="1" si="2"/>
        <v>Alerta</v>
      </c>
      <c r="T12" s="402">
        <v>1</v>
      </c>
      <c r="U12" s="363">
        <f t="shared" si="3"/>
        <v>1</v>
      </c>
      <c r="V12" s="369" t="str">
        <f t="shared" si="6"/>
        <v>100%</v>
      </c>
      <c r="W12" s="370" t="str">
        <f>IF(Q12&lt;=N12,"Cumple","Incumple")</f>
        <v>Cumple</v>
      </c>
      <c r="X12" s="256" t="s">
        <v>434</v>
      </c>
      <c r="Y12" s="257" t="s">
        <v>435</v>
      </c>
      <c r="Z12" s="369">
        <f t="shared" si="4"/>
        <v>1</v>
      </c>
      <c r="AA12" s="371">
        <v>1</v>
      </c>
      <c r="AB12" s="371">
        <v>0.6</v>
      </c>
      <c r="AC12" s="372">
        <f>AVERAGE(Z12:AB12)</f>
        <v>0.8666666666666667</v>
      </c>
      <c r="AD12" s="354" t="s">
        <v>429</v>
      </c>
    </row>
    <row r="13" spans="1:30" s="359" customFormat="1" ht="229.5" x14ac:dyDescent="0.2">
      <c r="A13" s="425" t="s">
        <v>52</v>
      </c>
      <c r="B13" s="425" t="s">
        <v>53</v>
      </c>
      <c r="C13" s="257" t="s">
        <v>436</v>
      </c>
      <c r="D13" s="257" t="s">
        <v>437</v>
      </c>
      <c r="E13" s="257" t="s">
        <v>438</v>
      </c>
      <c r="F13" s="257" t="s">
        <v>439</v>
      </c>
      <c r="G13" s="257" t="s">
        <v>425</v>
      </c>
      <c r="H13" s="257">
        <v>1</v>
      </c>
      <c r="I13" s="258" t="s">
        <v>440</v>
      </c>
      <c r="J13" s="258" t="s">
        <v>60</v>
      </c>
      <c r="K13" s="258" t="s">
        <v>215</v>
      </c>
      <c r="L13" s="494"/>
      <c r="M13" s="492">
        <v>44432</v>
      </c>
      <c r="N13" s="492">
        <v>44796</v>
      </c>
      <c r="O13" s="482">
        <f>(N13-M13)/7</f>
        <v>52</v>
      </c>
      <c r="P13" s="492">
        <v>44742</v>
      </c>
      <c r="Q13" s="492">
        <v>44742</v>
      </c>
      <c r="R13" s="367">
        <f t="shared" si="0"/>
        <v>-7.7142857142857153</v>
      </c>
      <c r="S13" s="368" t="str">
        <f ca="1">IF((N13-TODAY())/7&gt;=0,"En tiempo","Alerta")</f>
        <v>Alerta</v>
      </c>
      <c r="T13" s="402">
        <v>1</v>
      </c>
      <c r="U13" s="363">
        <f>IF(T13/H13=1,1,+T13/H13)</f>
        <v>1</v>
      </c>
      <c r="V13" s="369" t="str">
        <f>IF(R13&gt;O13,0%,IF(R13&lt;=0,"100%",1-(R13/O13)))</f>
        <v>100%</v>
      </c>
      <c r="W13" s="370" t="str">
        <f>IF(Q13&lt;=N13,"Cumple","Incumple")</f>
        <v>Cumple</v>
      </c>
      <c r="X13" s="258" t="s">
        <v>441</v>
      </c>
      <c r="Y13" s="257" t="s">
        <v>442</v>
      </c>
      <c r="Z13" s="369">
        <f>(U13+V13)/2</f>
        <v>1</v>
      </c>
      <c r="AA13" s="371">
        <v>0.8</v>
      </c>
      <c r="AB13" s="371">
        <v>0.6</v>
      </c>
      <c r="AC13" s="372">
        <f>AVERAGE(Z13:AB13)</f>
        <v>0.79999999999999993</v>
      </c>
      <c r="AD13" s="354" t="s">
        <v>443</v>
      </c>
    </row>
    <row r="14" spans="1:30" s="359" customFormat="1" ht="159.75" customHeight="1" x14ac:dyDescent="0.2">
      <c r="A14" s="425" t="s">
        <v>52</v>
      </c>
      <c r="B14" s="425" t="s">
        <v>53</v>
      </c>
      <c r="C14" s="257" t="s">
        <v>444</v>
      </c>
      <c r="D14" s="257" t="s">
        <v>445</v>
      </c>
      <c r="E14" s="257" t="s">
        <v>446</v>
      </c>
      <c r="F14" s="257" t="s">
        <v>447</v>
      </c>
      <c r="G14" s="257" t="s">
        <v>448</v>
      </c>
      <c r="H14" s="257">
        <v>1</v>
      </c>
      <c r="I14" s="258" t="s">
        <v>449</v>
      </c>
      <c r="J14" s="258" t="s">
        <v>60</v>
      </c>
      <c r="K14" s="258" t="s">
        <v>215</v>
      </c>
      <c r="L14" s="494"/>
      <c r="M14" s="492">
        <v>44432</v>
      </c>
      <c r="N14" s="492">
        <v>44620</v>
      </c>
      <c r="O14" s="482">
        <f t="shared" si="1"/>
        <v>26.857142857142858</v>
      </c>
      <c r="P14" s="492">
        <v>45286</v>
      </c>
      <c r="Q14" s="495">
        <v>45286</v>
      </c>
      <c r="R14" s="367">
        <f t="shared" si="0"/>
        <v>95.142857142857139</v>
      </c>
      <c r="S14" s="368" t="str">
        <f t="shared" ca="1" si="2"/>
        <v>Alerta</v>
      </c>
      <c r="T14" s="402"/>
      <c r="U14" s="363">
        <f t="shared" ref="U14:U15" si="7">IF(T14/H14=1,1,+T14/H14)</f>
        <v>0</v>
      </c>
      <c r="V14" s="369">
        <f t="shared" ref="V14:V19" si="8">IF(R14&gt;O14,0%,IF(R14&lt;=0,"100%",1-(R14/O14)))</f>
        <v>0</v>
      </c>
      <c r="W14" s="370" t="str">
        <f t="shared" ref="W14" si="9">IF(Q14&lt;=N14,"Cumple","Incumple")</f>
        <v>Incumple</v>
      </c>
      <c r="X14" s="257" t="s">
        <v>450</v>
      </c>
      <c r="Y14" s="259" t="s">
        <v>451</v>
      </c>
      <c r="Z14" s="369">
        <f t="shared" ref="Z14:Z15" si="10">(U14+V14)/2</f>
        <v>0</v>
      </c>
      <c r="AA14" s="371"/>
      <c r="AB14" s="371"/>
      <c r="AC14" s="403"/>
      <c r="AD14" s="354" t="s">
        <v>452</v>
      </c>
    </row>
    <row r="15" spans="1:30" s="359" customFormat="1" ht="145.5" customHeight="1" x14ac:dyDescent="0.2">
      <c r="A15" s="425" t="s">
        <v>52</v>
      </c>
      <c r="B15" s="425" t="s">
        <v>53</v>
      </c>
      <c r="C15" s="257" t="s">
        <v>453</v>
      </c>
      <c r="D15" s="257" t="s">
        <v>454</v>
      </c>
      <c r="E15" s="257" t="s">
        <v>455</v>
      </c>
      <c r="F15" s="257" t="s">
        <v>456</v>
      </c>
      <c r="G15" s="257" t="s">
        <v>457</v>
      </c>
      <c r="H15" s="257">
        <v>1</v>
      </c>
      <c r="I15" s="258" t="s">
        <v>449</v>
      </c>
      <c r="J15" s="258" t="s">
        <v>60</v>
      </c>
      <c r="K15" s="258" t="s">
        <v>215</v>
      </c>
      <c r="L15" s="494"/>
      <c r="M15" s="492">
        <v>44432</v>
      </c>
      <c r="N15" s="492">
        <v>44620</v>
      </c>
      <c r="O15" s="482">
        <f t="shared" si="1"/>
        <v>26.857142857142858</v>
      </c>
      <c r="P15" s="492">
        <v>44742</v>
      </c>
      <c r="Q15" s="492">
        <v>44742</v>
      </c>
      <c r="R15" s="367">
        <f t="shared" si="0"/>
        <v>17.428571428571427</v>
      </c>
      <c r="S15" s="368" t="str">
        <f t="shared" ca="1" si="2"/>
        <v>Alerta</v>
      </c>
      <c r="T15" s="402">
        <v>1</v>
      </c>
      <c r="U15" s="363">
        <f t="shared" si="7"/>
        <v>1</v>
      </c>
      <c r="V15" s="369">
        <f t="shared" si="8"/>
        <v>0.35106382978723416</v>
      </c>
      <c r="W15" s="370" t="str">
        <f>IF(Q15&lt;=N15,"Cumple","Incumple")</f>
        <v>Incumple</v>
      </c>
      <c r="X15" s="257" t="s">
        <v>458</v>
      </c>
      <c r="Y15" s="260" t="s">
        <v>459</v>
      </c>
      <c r="Z15" s="369">
        <f t="shared" si="10"/>
        <v>0.67553191489361708</v>
      </c>
      <c r="AA15" s="371">
        <v>0.9</v>
      </c>
      <c r="AB15" s="371">
        <v>0.7</v>
      </c>
      <c r="AC15" s="372">
        <f>AVERAGE(Z15:AB15)</f>
        <v>0.75851063829787224</v>
      </c>
      <c r="AD15" s="354" t="s">
        <v>460</v>
      </c>
    </row>
    <row r="16" spans="1:30" s="359" customFormat="1" ht="85.5" x14ac:dyDescent="0.2">
      <c r="A16" s="425" t="s">
        <v>52</v>
      </c>
      <c r="B16" s="425" t="s">
        <v>53</v>
      </c>
      <c r="C16" s="257" t="s">
        <v>461</v>
      </c>
      <c r="D16" s="257" t="s">
        <v>462</v>
      </c>
      <c r="E16" s="257" t="s">
        <v>463</v>
      </c>
      <c r="F16" s="257" t="s">
        <v>464</v>
      </c>
      <c r="G16" s="257" t="s">
        <v>465</v>
      </c>
      <c r="H16" s="257">
        <v>1</v>
      </c>
      <c r="I16" s="258"/>
      <c r="J16" s="258" t="s">
        <v>60</v>
      </c>
      <c r="K16" s="258" t="s">
        <v>215</v>
      </c>
      <c r="L16" s="494"/>
      <c r="M16" s="492">
        <v>43040</v>
      </c>
      <c r="N16" s="492">
        <v>43099</v>
      </c>
      <c r="O16" s="482">
        <f>(N16-M16)/7</f>
        <v>8.4285714285714288</v>
      </c>
      <c r="P16" s="251"/>
      <c r="Q16" s="495">
        <v>44908</v>
      </c>
      <c r="R16" s="367">
        <f t="shared" si="0"/>
        <v>258.42857142857139</v>
      </c>
      <c r="S16" s="368" t="str">
        <f ca="1">IF((N16-TODAY())/7&gt;=0,"En tiempo","Alerta")</f>
        <v>Alerta</v>
      </c>
      <c r="T16" s="402">
        <v>1</v>
      </c>
      <c r="U16" s="363">
        <f>IF(T16/H16=1,1,+T16/H16)</f>
        <v>1</v>
      </c>
      <c r="V16" s="369">
        <f>IF(R16&gt;O16,0%,IF(R16&lt;=0,"100%",1-(R16/O16)))</f>
        <v>0</v>
      </c>
      <c r="W16" s="370" t="str">
        <f>IF(P16&lt;=N16,"Cumple","Incumple")</f>
        <v>Cumple</v>
      </c>
      <c r="X16" s="257"/>
      <c r="Y16" s="260"/>
      <c r="Z16" s="369">
        <f>(U16+V16)/2</f>
        <v>0.5</v>
      </c>
      <c r="AA16" s="371"/>
      <c r="AB16" s="371"/>
      <c r="AC16" s="403"/>
      <c r="AD16" s="354" t="s">
        <v>466</v>
      </c>
    </row>
    <row r="17" spans="1:30" s="359" customFormat="1" ht="57" customHeight="1" x14ac:dyDescent="0.2">
      <c r="A17" s="425" t="s">
        <v>52</v>
      </c>
      <c r="B17" s="425" t="s">
        <v>53</v>
      </c>
      <c r="C17" s="257" t="s">
        <v>467</v>
      </c>
      <c r="D17" s="257" t="s">
        <v>468</v>
      </c>
      <c r="E17" s="257" t="s">
        <v>469</v>
      </c>
      <c r="F17" s="257" t="s">
        <v>470</v>
      </c>
      <c r="G17" s="257" t="s">
        <v>471</v>
      </c>
      <c r="H17" s="257">
        <v>1</v>
      </c>
      <c r="I17" s="258"/>
      <c r="J17" s="258" t="s">
        <v>60</v>
      </c>
      <c r="K17" s="258" t="s">
        <v>215</v>
      </c>
      <c r="L17" s="494"/>
      <c r="M17" s="492">
        <v>43009</v>
      </c>
      <c r="N17" s="492">
        <v>43099</v>
      </c>
      <c r="O17" s="482">
        <f t="shared" si="1"/>
        <v>12.857142857142858</v>
      </c>
      <c r="P17" s="251"/>
      <c r="Q17" s="495">
        <v>44908</v>
      </c>
      <c r="R17" s="367">
        <f t="shared" si="0"/>
        <v>258.42857142857144</v>
      </c>
      <c r="S17" s="368" t="str">
        <f t="shared" ref="S17:S18" ca="1" si="11">IF((N17-TODAY())/7&gt;=0,"En tiempo","Alerta")</f>
        <v>Alerta</v>
      </c>
      <c r="T17" s="402">
        <v>1</v>
      </c>
      <c r="U17" s="363">
        <f>IF(T17/H17=1,1,+T17/H17)</f>
        <v>1</v>
      </c>
      <c r="V17" s="369">
        <f t="shared" ref="V17:V18" si="12">IF(R17&gt;O17,0%,IF(R17&lt;=0,"100%",1-(R17/O17)))</f>
        <v>0</v>
      </c>
      <c r="W17" s="370" t="str">
        <f>IF(P17&lt;=N17,"Cumple","Incumple")</f>
        <v>Cumple</v>
      </c>
      <c r="X17" s="257"/>
      <c r="Y17" s="260"/>
      <c r="Z17" s="369">
        <f t="shared" ref="Z17:Z19" si="13">(U17+V17)/2</f>
        <v>0.5</v>
      </c>
      <c r="AA17" s="371"/>
      <c r="AB17" s="371"/>
      <c r="AC17" s="403"/>
      <c r="AD17" s="354" t="s">
        <v>466</v>
      </c>
    </row>
    <row r="18" spans="1:30" s="359" customFormat="1" ht="203.25" customHeight="1" x14ac:dyDescent="0.2">
      <c r="A18" s="425" t="s">
        <v>52</v>
      </c>
      <c r="B18" s="425" t="s">
        <v>53</v>
      </c>
      <c r="C18" s="257" t="s">
        <v>472</v>
      </c>
      <c r="D18" s="257" t="s">
        <v>473</v>
      </c>
      <c r="E18" s="257" t="s">
        <v>474</v>
      </c>
      <c r="F18" s="257" t="s">
        <v>475</v>
      </c>
      <c r="G18" s="257" t="s">
        <v>476</v>
      </c>
      <c r="H18" s="257">
        <v>1</v>
      </c>
      <c r="I18" s="258" t="s">
        <v>477</v>
      </c>
      <c r="J18" s="258" t="s">
        <v>60</v>
      </c>
      <c r="K18" s="258" t="s">
        <v>215</v>
      </c>
      <c r="L18" s="494"/>
      <c r="M18" s="492">
        <v>44432</v>
      </c>
      <c r="N18" s="492">
        <v>44796</v>
      </c>
      <c r="O18" s="482">
        <f t="shared" si="1"/>
        <v>52</v>
      </c>
      <c r="P18" s="495">
        <v>44560</v>
      </c>
      <c r="Q18" s="495">
        <v>44560</v>
      </c>
      <c r="R18" s="367">
        <f t="shared" si="0"/>
        <v>-33.714285714285715</v>
      </c>
      <c r="S18" s="368" t="str">
        <f t="shared" ca="1" si="11"/>
        <v>Alerta</v>
      </c>
      <c r="T18" s="402">
        <v>1</v>
      </c>
      <c r="U18" s="363">
        <f t="shared" ref="U18:U19" si="14">IF(T18/H18=1,1,+T18/H18)</f>
        <v>1</v>
      </c>
      <c r="V18" s="369" t="str">
        <f t="shared" si="12"/>
        <v>100%</v>
      </c>
      <c r="W18" s="370" t="str">
        <f>IF(Q18&lt;=N18,"Cumple","Incumple")</f>
        <v>Cumple</v>
      </c>
      <c r="X18" s="254" t="s">
        <v>478</v>
      </c>
      <c r="Y18" s="254" t="s">
        <v>479</v>
      </c>
      <c r="Z18" s="369">
        <f t="shared" si="13"/>
        <v>1</v>
      </c>
      <c r="AA18" s="371">
        <v>0.5</v>
      </c>
      <c r="AB18" s="371">
        <v>0.6</v>
      </c>
      <c r="AC18" s="372">
        <f>AVERAGE(Z18:AB18)</f>
        <v>0.70000000000000007</v>
      </c>
      <c r="AD18" s="354" t="s">
        <v>480</v>
      </c>
    </row>
    <row r="19" spans="1:30" s="359" customFormat="1" ht="332.25" customHeight="1" x14ac:dyDescent="0.2">
      <c r="A19" s="425" t="s">
        <v>52</v>
      </c>
      <c r="B19" s="425" t="s">
        <v>53</v>
      </c>
      <c r="C19" s="257" t="s">
        <v>481</v>
      </c>
      <c r="D19" s="257" t="s">
        <v>415</v>
      </c>
      <c r="E19" s="257" t="s">
        <v>482</v>
      </c>
      <c r="F19" s="496" t="s">
        <v>483</v>
      </c>
      <c r="G19" s="257" t="s">
        <v>484</v>
      </c>
      <c r="H19" s="493">
        <v>1</v>
      </c>
      <c r="I19" s="258" t="s">
        <v>485</v>
      </c>
      <c r="J19" s="258" t="s">
        <v>60</v>
      </c>
      <c r="K19" s="258" t="s">
        <v>215</v>
      </c>
      <c r="L19" s="494"/>
      <c r="M19" s="492">
        <v>44432</v>
      </c>
      <c r="N19" s="492">
        <v>44432</v>
      </c>
      <c r="O19" s="482">
        <f t="shared" si="1"/>
        <v>0</v>
      </c>
      <c r="P19" s="492">
        <v>45253</v>
      </c>
      <c r="Q19" s="495">
        <v>48906</v>
      </c>
      <c r="R19" s="367">
        <f t="shared" si="0"/>
        <v>639.14285714285711</v>
      </c>
      <c r="S19" s="368" t="str">
        <f t="shared" ca="1" si="2"/>
        <v>Alerta</v>
      </c>
      <c r="T19" s="402">
        <v>0.8</v>
      </c>
      <c r="U19" s="363">
        <f t="shared" si="14"/>
        <v>0.8</v>
      </c>
      <c r="V19" s="404">
        <f t="shared" si="8"/>
        <v>0</v>
      </c>
      <c r="W19" s="370" t="str">
        <f>IF(P19&lt;=N19,"Cumple","Incumple")</f>
        <v>Incumple</v>
      </c>
      <c r="X19" s="257" t="s">
        <v>486</v>
      </c>
      <c r="Y19" s="261" t="s">
        <v>487</v>
      </c>
      <c r="Z19" s="369">
        <f t="shared" si="13"/>
        <v>0.4</v>
      </c>
      <c r="AA19" s="371"/>
      <c r="AB19" s="371"/>
      <c r="AC19" s="403"/>
      <c r="AD19" s="354" t="s">
        <v>404</v>
      </c>
    </row>
    <row r="20" spans="1:30" ht="15" x14ac:dyDescent="0.2">
      <c r="G20" s="165" t="s">
        <v>314</v>
      </c>
      <c r="H20" s="168">
        <f>SUM(H7:H19)</f>
        <v>13</v>
      </c>
      <c r="R20" s="217" t="s">
        <v>195</v>
      </c>
      <c r="S20" s="217"/>
      <c r="T20" s="180">
        <f>SUM(T7:T19)</f>
        <v>11.600000000000001</v>
      </c>
      <c r="U20" s="111">
        <f>AVERAGE(U7:U19)</f>
        <v>0.89230769230769247</v>
      </c>
      <c r="V20" s="179"/>
      <c r="W20" s="178">
        <f>(COUNTIF(W7:W19,"Cumple")*100%)/COUNTA(W7:W19)</f>
        <v>0.53846153846153844</v>
      </c>
      <c r="AA20" s="217" t="s">
        <v>195</v>
      </c>
      <c r="AB20" s="217"/>
      <c r="AC20" s="177">
        <f>AVERAGE(AC7:AC19)</f>
        <v>0.76550151975683889</v>
      </c>
    </row>
  </sheetData>
  <autoFilter ref="A6:AD6" xr:uid="{00000000-0001-0000-1400-000000000000}"/>
  <dataConsolidate/>
  <mergeCells count="24">
    <mergeCell ref="O1:P2"/>
    <mergeCell ref="Q1:Y2"/>
    <mergeCell ref="Z1:AD4"/>
    <mergeCell ref="W3:X3"/>
    <mergeCell ref="A2:B2"/>
    <mergeCell ref="C2:F2"/>
    <mergeCell ref="G2:H2"/>
    <mergeCell ref="I2:N2"/>
    <mergeCell ref="Q3:V3"/>
    <mergeCell ref="A1:B1"/>
    <mergeCell ref="C1:N1"/>
    <mergeCell ref="A3:B3"/>
    <mergeCell ref="C3:F3"/>
    <mergeCell ref="G3:H3"/>
    <mergeCell ref="I3:N3"/>
    <mergeCell ref="O3:P3"/>
    <mergeCell ref="T4:U4"/>
    <mergeCell ref="V4:Y4"/>
    <mergeCell ref="A4:B4"/>
    <mergeCell ref="C4:F4"/>
    <mergeCell ref="G4:H4"/>
    <mergeCell ref="I4:N4"/>
    <mergeCell ref="O4:P4"/>
    <mergeCell ref="Q4:S4"/>
  </mergeCells>
  <conditionalFormatting sqref="R7:R19">
    <cfRule type="cellIs" dxfId="438" priority="31" operator="greaterThan">
      <formula>0</formula>
    </cfRule>
    <cfRule type="cellIs" dxfId="437" priority="32" operator="lessThan">
      <formula>0</formula>
    </cfRule>
  </conditionalFormatting>
  <conditionalFormatting sqref="S7:S19">
    <cfRule type="containsText" dxfId="436" priority="29" operator="containsText" text="Alerta">
      <formula>NOT(ISERROR(SEARCH("Alerta",S7)))</formula>
    </cfRule>
    <cfRule type="containsText" dxfId="435" priority="30" operator="containsText" text="En tiempo">
      <formula>NOT(ISERROR(SEARCH("En tiempo",S7)))</formula>
    </cfRule>
  </conditionalFormatting>
  <conditionalFormatting sqref="U7:U20">
    <cfRule type="cellIs" dxfId="434" priority="1" stopIfTrue="1" operator="between">
      <formula>0.8</formula>
      <formula>1</formula>
    </cfRule>
    <cfRule type="cellIs" dxfId="433" priority="2" stopIfTrue="1" operator="between">
      <formula>0.5</formula>
      <formula>0.79</formula>
    </cfRule>
    <cfRule type="cellIs" dxfId="432" priority="3" stopIfTrue="1" operator="between">
      <formula>0.3</formula>
      <formula>0.49</formula>
    </cfRule>
    <cfRule type="cellIs" dxfId="431" priority="4" stopIfTrue="1" operator="between">
      <formula>0</formula>
      <formula>0.29</formula>
    </cfRule>
  </conditionalFormatting>
  <conditionalFormatting sqref="V7:V19">
    <cfRule type="cellIs" dxfId="430" priority="23" operator="between">
      <formula>0.19</formula>
      <formula>0</formula>
    </cfRule>
    <cfRule type="cellIs" dxfId="429" priority="24" operator="between">
      <formula>0.49</formula>
      <formula>0.2</formula>
    </cfRule>
    <cfRule type="cellIs" dxfId="428" priority="25" operator="between">
      <formula>0.89</formula>
      <formula>0.5</formula>
    </cfRule>
    <cfRule type="cellIs" dxfId="427" priority="26" operator="between">
      <formula>1</formula>
      <formula>0.9</formula>
    </cfRule>
  </conditionalFormatting>
  <conditionalFormatting sqref="W7:W19">
    <cfRule type="containsText" dxfId="426" priority="27" operator="containsText" text="Incumple">
      <formula>NOT(ISERROR(SEARCH("Incumple",W7)))</formula>
    </cfRule>
    <cfRule type="containsText" dxfId="425" priority="28" operator="containsText" text="Cumple">
      <formula>NOT(ISERROR(SEARCH("Cumple",W7)))</formula>
    </cfRule>
  </conditionalFormatting>
  <conditionalFormatting sqref="W20">
    <cfRule type="cellIs" dxfId="424" priority="15" operator="between">
      <formula>0.19</formula>
      <formula>0</formula>
    </cfRule>
    <cfRule type="cellIs" dxfId="423" priority="16" operator="between">
      <formula>0.49</formula>
      <formula>0.2</formula>
    </cfRule>
    <cfRule type="cellIs" dxfId="422" priority="17" operator="between">
      <formula>0.89</formula>
      <formula>0.5</formula>
    </cfRule>
    <cfRule type="cellIs" dxfId="421" priority="18" operator="between">
      <formula>1</formula>
      <formula>0.9</formula>
    </cfRule>
  </conditionalFormatting>
  <conditionalFormatting sqref="Z7:Z19">
    <cfRule type="cellIs" dxfId="420" priority="11" operator="between">
      <formula>0.19</formula>
      <formula>0</formula>
    </cfRule>
    <cfRule type="cellIs" dxfId="419" priority="12" operator="between">
      <formula>0.49</formula>
      <formula>0.2</formula>
    </cfRule>
    <cfRule type="cellIs" dxfId="418" priority="13" operator="between">
      <formula>0.89</formula>
      <formula>0.5</formula>
    </cfRule>
    <cfRule type="cellIs" dxfId="417" priority="14" operator="between">
      <formula>1</formula>
      <formula>0.9</formula>
    </cfRule>
  </conditionalFormatting>
  <conditionalFormatting sqref="AC7:AC20">
    <cfRule type="cellIs" dxfId="416" priority="5" operator="between">
      <formula>0.3</formula>
      <formula>0</formula>
    </cfRule>
    <cfRule type="cellIs" dxfId="415" priority="6" operator="between">
      <formula>0.6999</formula>
      <formula>0.3111</formula>
    </cfRule>
    <cfRule type="cellIs" dxfId="414" priority="7" operator="between">
      <formula>1</formula>
      <formula>0.7</formula>
    </cfRule>
  </conditionalFormatting>
  <dataValidations count="5">
    <dataValidation type="list" allowBlank="1" showInputMessage="1" showErrorMessage="1" sqref="K7:K19" xr:uid="{00000000-0002-0000-1400-000000000000}">
      <formula1>$AS$4:$AS$10</formula1>
    </dataValidation>
    <dataValidation type="list" allowBlank="1" showInputMessage="1" showErrorMessage="1" sqref="J7:J19" xr:uid="{00000000-0002-0000-1400-000001000000}">
      <formula1>$AR$4:$AR$10</formula1>
    </dataValidation>
    <dataValidation type="list" allowBlank="1" showInputMessage="1" showErrorMessage="1" sqref="A7:A19" xr:uid="{00000000-0002-0000-1400-000003000000}">
      <formula1>$AP$4:$AP$10</formula1>
    </dataValidation>
    <dataValidation allowBlank="1" showInputMessage="1" showErrorMessage="1" errorTitle="Estado" error="No es un estado de los Planes de Mejoramiento" sqref="Q4:S4" xr:uid="{00000000-0002-0000-1400-000004000000}"/>
    <dataValidation type="list" allowBlank="1" showInputMessage="1" showErrorMessage="1" sqref="B7:B19" xr:uid="{00000000-0002-0000-1400-000005000000}">
      <formula1>$AV$5:$AV$8</formula1>
    </dataValidation>
  </dataValidations>
  <pageMargins left="1.4960629921259843" right="0.70866141732283472" top="0.74803149606299213" bottom="0.74803149606299213" header="0.31496062992125984" footer="0.31496062992125984"/>
  <pageSetup scale="34" fitToWidth="0" orientation="landscape" r:id="rId1"/>
  <colBreaks count="2" manualBreakCount="2">
    <brk id="14" max="1048575" man="1"/>
    <brk id="25"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D4CB8-B9B7-4B43-90B0-4527A4857D6C}">
  <sheetPr>
    <tabColor theme="0"/>
  </sheetPr>
  <dimension ref="A1:AF37"/>
  <sheetViews>
    <sheetView topLeftCell="O1" zoomScale="80" zoomScaleNormal="80" workbookViewId="0">
      <selection activeCell="AD7" sqref="AD7"/>
    </sheetView>
  </sheetViews>
  <sheetFormatPr baseColWidth="10" defaultColWidth="18.85546875" defaultRowHeight="14.25" x14ac:dyDescent="0.2"/>
  <cols>
    <col min="1" max="2" width="18.85546875" style="69"/>
    <col min="3" max="3" width="44.42578125" style="69" customWidth="1"/>
    <col min="4" max="4" width="41.5703125" style="69" customWidth="1"/>
    <col min="5" max="5" width="31.5703125" style="69" customWidth="1"/>
    <col min="6" max="6" width="33" style="69" customWidth="1"/>
    <col min="7" max="7" width="22.140625" style="69" customWidth="1"/>
    <col min="8" max="8" width="16.28515625" style="69" customWidth="1"/>
    <col min="9" max="9" width="24.42578125" style="69" customWidth="1"/>
    <col min="10" max="10" width="21.5703125" style="69" customWidth="1"/>
    <col min="11" max="11" width="18.85546875" style="69" customWidth="1"/>
    <col min="12" max="12" width="24.7109375" style="69" customWidth="1"/>
    <col min="13" max="13" width="14.140625" style="69" customWidth="1"/>
    <col min="14" max="14" width="14.85546875" style="69" customWidth="1"/>
    <col min="15" max="15" width="12" style="69" customWidth="1"/>
    <col min="16" max="16" width="17.5703125" style="69" customWidth="1"/>
    <col min="17" max="17" width="17" style="69" customWidth="1"/>
    <col min="18" max="18" width="10" style="69" customWidth="1"/>
    <col min="19" max="19" width="9.7109375" style="69" customWidth="1"/>
    <col min="20" max="20" width="9.140625" style="69" bestFit="1" customWidth="1"/>
    <col min="21" max="21" width="12.28515625" style="69" customWidth="1"/>
    <col min="22" max="22" width="13.28515625" style="69" customWidth="1"/>
    <col min="23" max="23" width="16.5703125" style="69" customWidth="1"/>
    <col min="24" max="24" width="64.28515625" style="69" customWidth="1"/>
    <col min="25" max="25" width="57" style="69" customWidth="1"/>
    <col min="26" max="29" width="11.5703125" style="69" customWidth="1"/>
    <col min="30" max="30" width="90.85546875" style="69" customWidth="1"/>
    <col min="31" max="16384" width="18.85546875" style="69"/>
  </cols>
  <sheetData>
    <row r="1" spans="1:30" ht="94.5" customHeight="1" x14ac:dyDescent="0.2">
      <c r="A1" s="861" t="s">
        <v>0</v>
      </c>
      <c r="B1" s="861"/>
      <c r="C1" s="861" t="s">
        <v>0</v>
      </c>
      <c r="D1" s="861"/>
      <c r="E1" s="861"/>
      <c r="F1" s="861"/>
      <c r="G1" s="861"/>
      <c r="H1" s="861"/>
      <c r="I1" s="861"/>
      <c r="J1" s="861"/>
      <c r="K1" s="861"/>
      <c r="L1" s="861"/>
      <c r="M1" s="861"/>
      <c r="N1" s="861"/>
      <c r="O1" s="861"/>
      <c r="P1" s="861"/>
      <c r="Q1" s="861" t="s">
        <v>2</v>
      </c>
      <c r="R1" s="861"/>
      <c r="S1" s="861"/>
      <c r="T1" s="861"/>
      <c r="U1" s="861"/>
      <c r="V1" s="861"/>
      <c r="W1" s="861"/>
      <c r="X1" s="861"/>
      <c r="Y1" s="861"/>
      <c r="Z1" s="911" t="s">
        <v>2</v>
      </c>
      <c r="AA1" s="912"/>
      <c r="AB1" s="912"/>
      <c r="AC1" s="912"/>
      <c r="AD1" s="913"/>
    </row>
    <row r="2" spans="1:30" ht="22.5" customHeight="1" thickBot="1" x14ac:dyDescent="0.25">
      <c r="A2" s="861" t="s">
        <v>197</v>
      </c>
      <c r="B2" s="861"/>
      <c r="C2" s="861" t="s">
        <v>4</v>
      </c>
      <c r="D2" s="909"/>
      <c r="E2" s="909"/>
      <c r="F2" s="909"/>
      <c r="G2" s="861" t="s">
        <v>5</v>
      </c>
      <c r="H2" s="861"/>
      <c r="I2" s="861" t="s">
        <v>6</v>
      </c>
      <c r="J2" s="861"/>
      <c r="K2" s="861"/>
      <c r="L2" s="861"/>
      <c r="M2" s="861"/>
      <c r="N2" s="861"/>
      <c r="O2" s="861"/>
      <c r="P2" s="861"/>
      <c r="Q2" s="861"/>
      <c r="R2" s="861"/>
      <c r="S2" s="861"/>
      <c r="T2" s="861"/>
      <c r="U2" s="861"/>
      <c r="V2" s="861"/>
      <c r="W2" s="861"/>
      <c r="X2" s="861"/>
      <c r="Y2" s="861"/>
      <c r="Z2" s="914"/>
      <c r="AA2" s="915"/>
      <c r="AB2" s="915"/>
      <c r="AC2" s="915"/>
      <c r="AD2" s="916"/>
    </row>
    <row r="3" spans="1:30" ht="36.75" customHeight="1" x14ac:dyDescent="0.2">
      <c r="A3" s="905" t="s">
        <v>7</v>
      </c>
      <c r="B3" s="905"/>
      <c r="C3" s="861" t="s">
        <v>488</v>
      </c>
      <c r="D3" s="861"/>
      <c r="E3" s="861"/>
      <c r="F3" s="861"/>
      <c r="G3" s="905" t="s">
        <v>9</v>
      </c>
      <c r="H3" s="905"/>
      <c r="I3" s="908">
        <v>43252</v>
      </c>
      <c r="J3" s="861"/>
      <c r="K3" s="861"/>
      <c r="L3" s="861"/>
      <c r="M3" s="861"/>
      <c r="N3" s="861"/>
      <c r="O3" s="905" t="s">
        <v>10</v>
      </c>
      <c r="P3" s="905"/>
      <c r="Q3" s="921">
        <v>45504</v>
      </c>
      <c r="R3" s="921"/>
      <c r="S3" s="921"/>
      <c r="T3" s="921"/>
      <c r="U3" s="921"/>
      <c r="V3" s="921"/>
      <c r="W3" s="905" t="s">
        <v>11</v>
      </c>
      <c r="X3" s="905"/>
      <c r="Y3" s="204" t="s">
        <v>489</v>
      </c>
      <c r="Z3" s="914"/>
      <c r="AA3" s="915"/>
      <c r="AB3" s="915"/>
      <c r="AC3" s="915"/>
      <c r="AD3" s="916"/>
    </row>
    <row r="4" spans="1:30" ht="33" customHeight="1" x14ac:dyDescent="0.2">
      <c r="A4" s="905" t="s">
        <v>13</v>
      </c>
      <c r="B4" s="905"/>
      <c r="C4" s="861" t="s">
        <v>490</v>
      </c>
      <c r="D4" s="861"/>
      <c r="E4" s="861"/>
      <c r="F4" s="861"/>
      <c r="G4" s="905" t="s">
        <v>15</v>
      </c>
      <c r="H4" s="905"/>
      <c r="I4" s="908">
        <v>43830</v>
      </c>
      <c r="J4" s="908"/>
      <c r="K4" s="908"/>
      <c r="L4" s="908"/>
      <c r="M4" s="908"/>
      <c r="N4" s="908"/>
      <c r="O4" s="905" t="s">
        <v>16</v>
      </c>
      <c r="P4" s="905"/>
      <c r="Q4" s="861" t="s">
        <v>491</v>
      </c>
      <c r="R4" s="861"/>
      <c r="S4" s="861"/>
      <c r="T4" s="905" t="s">
        <v>18</v>
      </c>
      <c r="U4" s="905"/>
      <c r="V4" s="920" t="s">
        <v>492</v>
      </c>
      <c r="W4" s="920"/>
      <c r="X4" s="920"/>
      <c r="Y4" s="920"/>
      <c r="Z4" s="917"/>
      <c r="AA4" s="918"/>
      <c r="AB4" s="918"/>
      <c r="AC4" s="918"/>
      <c r="AD4" s="919"/>
    </row>
    <row r="5" spans="1:30" ht="36.75" customHeight="1" x14ac:dyDescent="0.2">
      <c r="A5" s="205" t="s">
        <v>19</v>
      </c>
      <c r="B5" s="205"/>
      <c r="C5" s="205"/>
      <c r="D5" s="205"/>
      <c r="E5" s="205"/>
      <c r="F5" s="205"/>
      <c r="G5" s="205"/>
      <c r="H5" s="205"/>
      <c r="I5" s="205"/>
      <c r="J5" s="205"/>
      <c r="K5" s="205"/>
      <c r="L5" s="205"/>
      <c r="M5" s="205"/>
      <c r="N5" s="205"/>
      <c r="O5" s="206" t="s">
        <v>20</v>
      </c>
      <c r="P5" s="206"/>
      <c r="Q5" s="206"/>
      <c r="R5" s="206"/>
      <c r="S5" s="206"/>
      <c r="T5" s="206"/>
      <c r="U5" s="206"/>
      <c r="V5" s="206"/>
      <c r="W5" s="206"/>
      <c r="X5" s="206"/>
      <c r="Y5" s="206"/>
      <c r="Z5" s="207" t="s">
        <v>21</v>
      </c>
      <c r="AA5" s="207"/>
      <c r="AB5" s="207"/>
      <c r="AC5" s="207"/>
      <c r="AD5" s="207"/>
    </row>
    <row r="6" spans="1:30" s="413" customFormat="1" ht="120" x14ac:dyDescent="0.2">
      <c r="A6" s="410" t="s">
        <v>22</v>
      </c>
      <c r="B6" s="410" t="s">
        <v>23</v>
      </c>
      <c r="C6" s="410" t="s">
        <v>493</v>
      </c>
      <c r="D6" s="410" t="s">
        <v>25</v>
      </c>
      <c r="E6" s="410" t="s">
        <v>26</v>
      </c>
      <c r="F6" s="410" t="s">
        <v>27</v>
      </c>
      <c r="G6" s="410" t="s">
        <v>28</v>
      </c>
      <c r="H6" s="410" t="s">
        <v>29</v>
      </c>
      <c r="I6" s="410" t="s">
        <v>30</v>
      </c>
      <c r="J6" s="410" t="s">
        <v>31</v>
      </c>
      <c r="K6" s="410" t="s">
        <v>32</v>
      </c>
      <c r="L6" s="410" t="s">
        <v>33</v>
      </c>
      <c r="M6" s="410" t="s">
        <v>34</v>
      </c>
      <c r="N6" s="410" t="s">
        <v>35</v>
      </c>
      <c r="O6" s="411" t="s">
        <v>36</v>
      </c>
      <c r="P6" s="411" t="s">
        <v>37</v>
      </c>
      <c r="Q6" s="411" t="s">
        <v>38</v>
      </c>
      <c r="R6" s="411" t="s">
        <v>39</v>
      </c>
      <c r="S6" s="411" t="s">
        <v>40</v>
      </c>
      <c r="T6" s="411" t="s">
        <v>41</v>
      </c>
      <c r="U6" s="411" t="s">
        <v>42</v>
      </c>
      <c r="V6" s="411" t="s">
        <v>43</v>
      </c>
      <c r="W6" s="411" t="s">
        <v>44</v>
      </c>
      <c r="X6" s="411" t="s">
        <v>45</v>
      </c>
      <c r="Y6" s="411" t="s">
        <v>46</v>
      </c>
      <c r="Z6" s="412" t="s">
        <v>47</v>
      </c>
      <c r="AA6" s="412" t="s">
        <v>48</v>
      </c>
      <c r="AB6" s="412" t="s">
        <v>49</v>
      </c>
      <c r="AC6" s="412" t="s">
        <v>50</v>
      </c>
      <c r="AD6" s="412" t="s">
        <v>51</v>
      </c>
    </row>
    <row r="7" spans="1:30" s="405" customFormat="1" ht="356.25" x14ac:dyDescent="0.2">
      <c r="A7" s="143" t="s">
        <v>494</v>
      </c>
      <c r="B7" s="143" t="s">
        <v>52</v>
      </c>
      <c r="C7" s="143" t="s">
        <v>495</v>
      </c>
      <c r="D7" s="143" t="s">
        <v>496</v>
      </c>
      <c r="E7" s="143" t="s">
        <v>497</v>
      </c>
      <c r="F7" s="143" t="s">
        <v>498</v>
      </c>
      <c r="G7" s="143" t="s">
        <v>499</v>
      </c>
      <c r="H7" s="355">
        <v>1</v>
      </c>
      <c r="I7" s="143" t="s">
        <v>500</v>
      </c>
      <c r="J7" s="143" t="s">
        <v>501</v>
      </c>
      <c r="K7" s="143" t="s">
        <v>502</v>
      </c>
      <c r="L7" s="143" t="s">
        <v>503</v>
      </c>
      <c r="M7" s="356">
        <v>43252</v>
      </c>
      <c r="N7" s="140">
        <v>45646</v>
      </c>
      <c r="O7" s="497">
        <f t="shared" ref="O7:O24" si="0">(+N7-M7)/7</f>
        <v>342</v>
      </c>
      <c r="P7" s="140">
        <v>45688</v>
      </c>
      <c r="Q7" s="677">
        <f>P7</f>
        <v>45688</v>
      </c>
      <c r="R7" s="383">
        <f>(Q7-M7)/7-O7</f>
        <v>6</v>
      </c>
      <c r="S7" s="384" t="str">
        <f ca="1">IF((N7-TODAY())/7&gt;=0,"En tiempo","Alerta")</f>
        <v>Alerta</v>
      </c>
      <c r="T7" s="406">
        <v>0.9</v>
      </c>
      <c r="U7" s="363">
        <f>IF(T7/H7=1,1,+T7/H7)</f>
        <v>0.9</v>
      </c>
      <c r="V7" s="386">
        <f>IF(R7&gt;O7,0%,IF(R7&lt;=0,"100%",1-(R7/O7)))</f>
        <v>0.98245614035087714</v>
      </c>
      <c r="W7" s="407" t="str">
        <f t="shared" ref="W7:W24" si="1">IF(P7&lt;=N7,"Cumple","Incumple")</f>
        <v>Incumple</v>
      </c>
      <c r="X7" s="734" t="s">
        <v>504</v>
      </c>
      <c r="Y7" s="139" t="s">
        <v>505</v>
      </c>
      <c r="Z7" s="408">
        <f t="shared" ref="Z7:Z25" si="2">(U7+V7)/2</f>
        <v>0.94122807017543852</v>
      </c>
      <c r="AA7" s="355">
        <v>0.2</v>
      </c>
      <c r="AB7" s="355">
        <v>0.2</v>
      </c>
      <c r="AC7" s="408">
        <f t="shared" ref="AC7:AC25" si="3">AVERAGE(Z7:AB7)</f>
        <v>0.44707602339181279</v>
      </c>
      <c r="AD7" s="735" t="s">
        <v>3128</v>
      </c>
    </row>
    <row r="8" spans="1:30" s="405" customFormat="1" ht="114" x14ac:dyDescent="0.2">
      <c r="A8" s="143" t="s">
        <v>494</v>
      </c>
      <c r="B8" s="143" t="s">
        <v>52</v>
      </c>
      <c r="C8" s="143" t="s">
        <v>506</v>
      </c>
      <c r="D8" s="143" t="s">
        <v>496</v>
      </c>
      <c r="E8" s="143" t="s">
        <v>497</v>
      </c>
      <c r="F8" s="143" t="s">
        <v>507</v>
      </c>
      <c r="G8" s="143" t="s">
        <v>508</v>
      </c>
      <c r="H8" s="143">
        <v>2</v>
      </c>
      <c r="I8" s="143" t="s">
        <v>500</v>
      </c>
      <c r="J8" s="143" t="s">
        <v>501</v>
      </c>
      <c r="K8" s="143" t="s">
        <v>502</v>
      </c>
      <c r="L8" s="143" t="s">
        <v>508</v>
      </c>
      <c r="M8" s="356">
        <v>43252</v>
      </c>
      <c r="N8" s="140">
        <v>43830</v>
      </c>
      <c r="O8" s="497">
        <f t="shared" si="0"/>
        <v>82.571428571428569</v>
      </c>
      <c r="P8" s="140">
        <v>43369</v>
      </c>
      <c r="Q8" s="356">
        <v>43369</v>
      </c>
      <c r="R8" s="383">
        <f>(Q8-M8)/7-O8</f>
        <v>-65.857142857142861</v>
      </c>
      <c r="S8" s="384" t="str">
        <f t="shared" ref="S8:S24" ca="1" si="4">IF((N8-TODAY())/7&gt;=0,"En tiempo","Alerta")</f>
        <v>Alerta</v>
      </c>
      <c r="T8" s="382">
        <v>2</v>
      </c>
      <c r="U8" s="363">
        <f t="shared" ref="U8:U24" si="5">IF(T8/H8=1,1,+T8/H8)</f>
        <v>1</v>
      </c>
      <c r="V8" s="386" t="str">
        <f t="shared" ref="V8:V24" si="6">IF(R8&gt;O8,0%,IF(R8&lt;=0,"100%",1-(R8/O8)))</f>
        <v>100%</v>
      </c>
      <c r="W8" s="407" t="str">
        <f t="shared" si="1"/>
        <v>Cumple</v>
      </c>
      <c r="X8" s="139"/>
      <c r="Y8" s="139" t="s">
        <v>509</v>
      </c>
      <c r="Z8" s="408">
        <f t="shared" si="2"/>
        <v>1</v>
      </c>
      <c r="AA8" s="143"/>
      <c r="AB8" s="143"/>
      <c r="AC8" s="408"/>
      <c r="AD8" s="139"/>
    </row>
    <row r="9" spans="1:30" s="405" customFormat="1" ht="270.75" x14ac:dyDescent="0.2">
      <c r="A9" s="143" t="s">
        <v>494</v>
      </c>
      <c r="B9" s="143" t="s">
        <v>52</v>
      </c>
      <c r="C9" s="143" t="s">
        <v>510</v>
      </c>
      <c r="D9" s="143" t="s">
        <v>496</v>
      </c>
      <c r="E9" s="143" t="s">
        <v>497</v>
      </c>
      <c r="F9" s="143" t="s">
        <v>511</v>
      </c>
      <c r="G9" s="143" t="s">
        <v>512</v>
      </c>
      <c r="H9" s="355">
        <v>1</v>
      </c>
      <c r="I9" s="143" t="s">
        <v>500</v>
      </c>
      <c r="J9" s="143" t="s">
        <v>501</v>
      </c>
      <c r="K9" s="143" t="s">
        <v>502</v>
      </c>
      <c r="L9" s="143" t="s">
        <v>513</v>
      </c>
      <c r="M9" s="356">
        <v>43252</v>
      </c>
      <c r="N9" s="140">
        <v>45646</v>
      </c>
      <c r="O9" s="497">
        <f t="shared" si="0"/>
        <v>342</v>
      </c>
      <c r="P9" s="140">
        <v>45688</v>
      </c>
      <c r="Q9" s="677">
        <f>P9</f>
        <v>45688</v>
      </c>
      <c r="R9" s="383">
        <f>(Q9-M9)/7-O9</f>
        <v>6</v>
      </c>
      <c r="S9" s="384" t="str">
        <f t="shared" ca="1" si="4"/>
        <v>Alerta</v>
      </c>
      <c r="T9" s="406">
        <v>0.9</v>
      </c>
      <c r="U9" s="363">
        <f t="shared" si="5"/>
        <v>0.9</v>
      </c>
      <c r="V9" s="386">
        <f t="shared" si="6"/>
        <v>0.98245614035087714</v>
      </c>
      <c r="W9" s="407" t="str">
        <f t="shared" si="1"/>
        <v>Incumple</v>
      </c>
      <c r="X9" s="139" t="s">
        <v>514</v>
      </c>
      <c r="Y9" s="139" t="s">
        <v>515</v>
      </c>
      <c r="Z9" s="408">
        <f t="shared" si="2"/>
        <v>0.94122807017543852</v>
      </c>
      <c r="AA9" s="355">
        <v>0.5</v>
      </c>
      <c r="AB9" s="355">
        <v>0.5</v>
      </c>
      <c r="AC9" s="408">
        <f t="shared" si="3"/>
        <v>0.6470760233918128</v>
      </c>
      <c r="AD9" s="735" t="s">
        <v>516</v>
      </c>
    </row>
    <row r="10" spans="1:30" s="405" customFormat="1" ht="213.75" x14ac:dyDescent="0.2">
      <c r="A10" s="143" t="s">
        <v>494</v>
      </c>
      <c r="B10" s="143" t="s">
        <v>52</v>
      </c>
      <c r="C10" s="143" t="s">
        <v>517</v>
      </c>
      <c r="D10" s="143" t="s">
        <v>518</v>
      </c>
      <c r="E10" s="143" t="s">
        <v>519</v>
      </c>
      <c r="F10" s="143" t="s">
        <v>520</v>
      </c>
      <c r="G10" s="143" t="s">
        <v>521</v>
      </c>
      <c r="H10" s="143">
        <v>1</v>
      </c>
      <c r="I10" s="143" t="s">
        <v>500</v>
      </c>
      <c r="J10" s="143" t="s">
        <v>501</v>
      </c>
      <c r="K10" s="143" t="s">
        <v>502</v>
      </c>
      <c r="L10" s="143" t="s">
        <v>521</v>
      </c>
      <c r="M10" s="356">
        <v>43252</v>
      </c>
      <c r="N10" s="140">
        <v>45646</v>
      </c>
      <c r="O10" s="497">
        <f t="shared" si="0"/>
        <v>342</v>
      </c>
      <c r="P10" s="140">
        <v>45688</v>
      </c>
      <c r="Q10" s="677">
        <v>45504</v>
      </c>
      <c r="R10" s="383">
        <f>(Q10-M10)/7-O10</f>
        <v>-20.285714285714278</v>
      </c>
      <c r="S10" s="384" t="str">
        <f t="shared" ca="1" si="4"/>
        <v>Alerta</v>
      </c>
      <c r="T10" s="406">
        <v>0.9</v>
      </c>
      <c r="U10" s="363">
        <f t="shared" si="5"/>
        <v>0.9</v>
      </c>
      <c r="V10" s="386" t="str">
        <f>IF(R10&gt;O10,0%,IF(R10&lt;=0,"100%",1-(R10/O10)))</f>
        <v>100%</v>
      </c>
      <c r="W10" s="407" t="str">
        <f t="shared" si="1"/>
        <v>Incumple</v>
      </c>
      <c r="X10" s="139" t="s">
        <v>522</v>
      </c>
      <c r="Y10" s="139" t="s">
        <v>523</v>
      </c>
      <c r="Z10" s="408">
        <f t="shared" si="2"/>
        <v>0.95</v>
      </c>
      <c r="AA10" s="143"/>
      <c r="AB10" s="143"/>
      <c r="AC10" s="408">
        <f t="shared" si="3"/>
        <v>0.95</v>
      </c>
      <c r="AD10" s="735" t="s">
        <v>3126</v>
      </c>
    </row>
    <row r="11" spans="1:30" s="405" customFormat="1" ht="99.75" x14ac:dyDescent="0.2">
      <c r="A11" s="143" t="s">
        <v>494</v>
      </c>
      <c r="B11" s="143" t="s">
        <v>52</v>
      </c>
      <c r="C11" s="143" t="s">
        <v>517</v>
      </c>
      <c r="D11" s="143" t="s">
        <v>518</v>
      </c>
      <c r="E11" s="143" t="s">
        <v>519</v>
      </c>
      <c r="F11" s="143" t="s">
        <v>520</v>
      </c>
      <c r="G11" s="143" t="s">
        <v>524</v>
      </c>
      <c r="H11" s="143">
        <v>1</v>
      </c>
      <c r="I11" s="143" t="s">
        <v>500</v>
      </c>
      <c r="J11" s="143" t="s">
        <v>501</v>
      </c>
      <c r="K11" s="143" t="s">
        <v>502</v>
      </c>
      <c r="L11" s="143" t="s">
        <v>524</v>
      </c>
      <c r="M11" s="356">
        <v>43252</v>
      </c>
      <c r="N11" s="140">
        <v>43830</v>
      </c>
      <c r="O11" s="497">
        <f t="shared" si="0"/>
        <v>82.571428571428569</v>
      </c>
      <c r="P11" s="140">
        <v>45463</v>
      </c>
      <c r="Q11" s="356">
        <v>43369</v>
      </c>
      <c r="R11" s="383">
        <f t="shared" ref="R11:R24" si="7">(Q11-M11)/7-O11</f>
        <v>-65.857142857142861</v>
      </c>
      <c r="S11" s="384" t="str">
        <f t="shared" ca="1" si="4"/>
        <v>Alerta</v>
      </c>
      <c r="T11" s="382">
        <v>1</v>
      </c>
      <c r="U11" s="363">
        <f t="shared" si="5"/>
        <v>1</v>
      </c>
      <c r="V11" s="386" t="str">
        <f t="shared" si="6"/>
        <v>100%</v>
      </c>
      <c r="W11" s="407" t="str">
        <f t="shared" si="1"/>
        <v>Incumple</v>
      </c>
      <c r="X11" s="139" t="s">
        <v>525</v>
      </c>
      <c r="Y11" s="139" t="s">
        <v>526</v>
      </c>
      <c r="Z11" s="408">
        <f t="shared" si="2"/>
        <v>1</v>
      </c>
      <c r="AA11" s="355">
        <v>1</v>
      </c>
      <c r="AB11" s="355">
        <v>1</v>
      </c>
      <c r="AC11" s="408">
        <f t="shared" si="3"/>
        <v>1</v>
      </c>
      <c r="AD11" s="139" t="s">
        <v>527</v>
      </c>
    </row>
    <row r="12" spans="1:30" s="405" customFormat="1" ht="72" thickBot="1" x14ac:dyDescent="0.25">
      <c r="A12" s="143" t="s">
        <v>494</v>
      </c>
      <c r="B12" s="143" t="s">
        <v>52</v>
      </c>
      <c r="C12" s="143" t="s">
        <v>517</v>
      </c>
      <c r="D12" s="143" t="s">
        <v>518</v>
      </c>
      <c r="E12" s="143" t="s">
        <v>519</v>
      </c>
      <c r="F12" s="143" t="s">
        <v>520</v>
      </c>
      <c r="G12" s="143" t="s">
        <v>528</v>
      </c>
      <c r="H12" s="143">
        <v>1</v>
      </c>
      <c r="I12" s="143" t="s">
        <v>500</v>
      </c>
      <c r="J12" s="143" t="s">
        <v>501</v>
      </c>
      <c r="K12" s="143" t="s">
        <v>502</v>
      </c>
      <c r="L12" s="143" t="s">
        <v>528</v>
      </c>
      <c r="M12" s="356"/>
      <c r="N12" s="140"/>
      <c r="O12" s="497"/>
      <c r="P12" s="140"/>
      <c r="Q12" s="356" t="s">
        <v>162</v>
      </c>
      <c r="R12" s="383"/>
      <c r="S12" s="384"/>
      <c r="T12" s="406"/>
      <c r="U12" s="363"/>
      <c r="V12" s="386"/>
      <c r="W12" s="407"/>
      <c r="X12" s="139"/>
      <c r="Y12" s="139" t="s">
        <v>529</v>
      </c>
      <c r="Z12" s="408"/>
      <c r="AA12" s="143"/>
      <c r="AB12" s="143"/>
      <c r="AC12" s="408"/>
      <c r="AD12" s="139"/>
    </row>
    <row r="13" spans="1:30" s="405" customFormat="1" ht="142.5" x14ac:dyDescent="0.2">
      <c r="A13" s="143" t="s">
        <v>494</v>
      </c>
      <c r="B13" s="143" t="s">
        <v>52</v>
      </c>
      <c r="C13" s="143" t="s">
        <v>530</v>
      </c>
      <c r="D13" s="143" t="s">
        <v>531</v>
      </c>
      <c r="E13" s="143" t="s">
        <v>532</v>
      </c>
      <c r="F13" s="143" t="s">
        <v>533</v>
      </c>
      <c r="G13" s="143" t="s">
        <v>534</v>
      </c>
      <c r="H13" s="143">
        <v>1</v>
      </c>
      <c r="I13" s="143" t="s">
        <v>500</v>
      </c>
      <c r="J13" s="143" t="s">
        <v>501</v>
      </c>
      <c r="K13" s="143" t="s">
        <v>502</v>
      </c>
      <c r="L13" s="143" t="s">
        <v>534</v>
      </c>
      <c r="M13" s="356">
        <v>43252</v>
      </c>
      <c r="N13" s="140">
        <v>43830</v>
      </c>
      <c r="O13" s="497">
        <f t="shared" si="0"/>
        <v>82.571428571428569</v>
      </c>
      <c r="P13" s="140">
        <v>43369</v>
      </c>
      <c r="Q13" s="356">
        <v>43369</v>
      </c>
      <c r="R13" s="383">
        <f t="shared" si="7"/>
        <v>-65.857142857142861</v>
      </c>
      <c r="S13" s="384" t="str">
        <f t="shared" ca="1" si="4"/>
        <v>Alerta</v>
      </c>
      <c r="T13" s="382">
        <v>1</v>
      </c>
      <c r="U13" s="363">
        <f t="shared" si="5"/>
        <v>1</v>
      </c>
      <c r="V13" s="386" t="str">
        <f t="shared" si="6"/>
        <v>100%</v>
      </c>
      <c r="W13" s="407" t="str">
        <f t="shared" si="1"/>
        <v>Cumple</v>
      </c>
      <c r="X13" s="139"/>
      <c r="Y13" s="139" t="s">
        <v>535</v>
      </c>
      <c r="Z13" s="408">
        <f t="shared" si="2"/>
        <v>1</v>
      </c>
      <c r="AA13" s="143"/>
      <c r="AB13" s="143"/>
      <c r="AC13" s="408"/>
      <c r="AD13" s="139"/>
    </row>
    <row r="14" spans="1:30" s="405" customFormat="1" ht="99.75" x14ac:dyDescent="0.2">
      <c r="A14" s="143" t="s">
        <v>494</v>
      </c>
      <c r="B14" s="143" t="s">
        <v>52</v>
      </c>
      <c r="C14" s="143" t="s">
        <v>536</v>
      </c>
      <c r="D14" s="143" t="s">
        <v>537</v>
      </c>
      <c r="E14" s="143" t="s">
        <v>538</v>
      </c>
      <c r="F14" s="143" t="s">
        <v>539</v>
      </c>
      <c r="G14" s="143" t="s">
        <v>540</v>
      </c>
      <c r="H14" s="143">
        <v>9</v>
      </c>
      <c r="I14" s="143" t="s">
        <v>500</v>
      </c>
      <c r="J14" s="143" t="s">
        <v>501</v>
      </c>
      <c r="K14" s="143" t="s">
        <v>502</v>
      </c>
      <c r="L14" s="143" t="s">
        <v>540</v>
      </c>
      <c r="M14" s="356">
        <v>43252</v>
      </c>
      <c r="N14" s="140">
        <v>43830</v>
      </c>
      <c r="O14" s="497">
        <f t="shared" si="0"/>
        <v>82.571428571428569</v>
      </c>
      <c r="P14" s="140">
        <v>44749</v>
      </c>
      <c r="Q14" s="356">
        <v>44749</v>
      </c>
      <c r="R14" s="383">
        <f t="shared" si="7"/>
        <v>131.28571428571428</v>
      </c>
      <c r="S14" s="384" t="str">
        <f t="shared" ca="1" si="4"/>
        <v>Alerta</v>
      </c>
      <c r="T14" s="382">
        <v>9</v>
      </c>
      <c r="U14" s="363">
        <f t="shared" si="5"/>
        <v>1</v>
      </c>
      <c r="V14" s="386">
        <f t="shared" si="6"/>
        <v>0</v>
      </c>
      <c r="W14" s="407" t="str">
        <f t="shared" si="1"/>
        <v>Incumple</v>
      </c>
      <c r="X14" s="139"/>
      <c r="Y14" s="139" t="s">
        <v>541</v>
      </c>
      <c r="Z14" s="408">
        <f t="shared" si="2"/>
        <v>0.5</v>
      </c>
      <c r="AA14" s="143"/>
      <c r="AB14" s="143"/>
      <c r="AC14" s="408"/>
      <c r="AD14" s="139"/>
    </row>
    <row r="15" spans="1:30" s="405" customFormat="1" ht="71.25" x14ac:dyDescent="0.2">
      <c r="A15" s="143" t="s">
        <v>494</v>
      </c>
      <c r="B15" s="143" t="s">
        <v>52</v>
      </c>
      <c r="C15" s="143" t="s">
        <v>536</v>
      </c>
      <c r="D15" s="143" t="s">
        <v>537</v>
      </c>
      <c r="E15" s="143" t="s">
        <v>542</v>
      </c>
      <c r="F15" s="143" t="s">
        <v>543</v>
      </c>
      <c r="G15" s="143" t="s">
        <v>544</v>
      </c>
      <c r="H15" s="143">
        <v>1</v>
      </c>
      <c r="I15" s="143" t="s">
        <v>500</v>
      </c>
      <c r="J15" s="143" t="s">
        <v>501</v>
      </c>
      <c r="K15" s="143" t="s">
        <v>502</v>
      </c>
      <c r="L15" s="143" t="s">
        <v>544</v>
      </c>
      <c r="M15" s="356">
        <v>43252</v>
      </c>
      <c r="N15" s="140">
        <v>43830</v>
      </c>
      <c r="O15" s="497">
        <f t="shared" si="0"/>
        <v>82.571428571428569</v>
      </c>
      <c r="P15" s="140">
        <v>43369</v>
      </c>
      <c r="Q15" s="356">
        <v>43369</v>
      </c>
      <c r="R15" s="383">
        <f t="shared" si="7"/>
        <v>-65.857142857142861</v>
      </c>
      <c r="S15" s="384" t="str">
        <f t="shared" ca="1" si="4"/>
        <v>Alerta</v>
      </c>
      <c r="T15" s="382">
        <v>1</v>
      </c>
      <c r="U15" s="363">
        <f t="shared" si="5"/>
        <v>1</v>
      </c>
      <c r="V15" s="386" t="str">
        <f t="shared" si="6"/>
        <v>100%</v>
      </c>
      <c r="W15" s="407" t="str">
        <f t="shared" si="1"/>
        <v>Cumple</v>
      </c>
      <c r="X15" s="139"/>
      <c r="Y15" s="139" t="s">
        <v>545</v>
      </c>
      <c r="Z15" s="408">
        <f t="shared" si="2"/>
        <v>1</v>
      </c>
      <c r="AA15" s="143"/>
      <c r="AB15" s="143"/>
      <c r="AC15" s="408"/>
      <c r="AD15" s="139"/>
    </row>
    <row r="16" spans="1:30" s="405" customFormat="1" ht="270.75" x14ac:dyDescent="0.2">
      <c r="A16" s="143" t="s">
        <v>494</v>
      </c>
      <c r="B16" s="143" t="s">
        <v>52</v>
      </c>
      <c r="C16" s="143" t="s">
        <v>536</v>
      </c>
      <c r="D16" s="143" t="s">
        <v>537</v>
      </c>
      <c r="E16" s="143" t="s">
        <v>546</v>
      </c>
      <c r="F16" s="143" t="s">
        <v>547</v>
      </c>
      <c r="G16" s="143" t="s">
        <v>548</v>
      </c>
      <c r="H16" s="355">
        <v>1</v>
      </c>
      <c r="I16" s="143" t="s">
        <v>500</v>
      </c>
      <c r="J16" s="143" t="s">
        <v>501</v>
      </c>
      <c r="K16" s="143" t="s">
        <v>502</v>
      </c>
      <c r="L16" s="143" t="s">
        <v>549</v>
      </c>
      <c r="M16" s="356">
        <v>43252</v>
      </c>
      <c r="N16" s="140">
        <v>45646</v>
      </c>
      <c r="O16" s="497">
        <f t="shared" si="0"/>
        <v>342</v>
      </c>
      <c r="P16" s="140">
        <v>45688</v>
      </c>
      <c r="Q16" s="356">
        <v>45526</v>
      </c>
      <c r="R16" s="383">
        <f t="shared" si="7"/>
        <v>-17.142857142857167</v>
      </c>
      <c r="S16" s="384" t="str">
        <f t="shared" ca="1" si="4"/>
        <v>Alerta</v>
      </c>
      <c r="T16" s="406">
        <v>1</v>
      </c>
      <c r="U16" s="363">
        <f t="shared" si="5"/>
        <v>1</v>
      </c>
      <c r="V16" s="386" t="str">
        <f>IF(R16&gt;O16,0%,IF(R16&lt;=0,"100%",1-(R16/O16)))</f>
        <v>100%</v>
      </c>
      <c r="W16" s="407" t="str">
        <f>IF(P16&lt;=N16,"Cumple","Incumple")</f>
        <v>Incumple</v>
      </c>
      <c r="X16" s="139" t="s">
        <v>550</v>
      </c>
      <c r="Y16" s="139" t="s">
        <v>3125</v>
      </c>
      <c r="Z16" s="408">
        <f t="shared" si="2"/>
        <v>1</v>
      </c>
      <c r="AA16" s="355">
        <v>1</v>
      </c>
      <c r="AB16" s="355">
        <v>1</v>
      </c>
      <c r="AC16" s="408">
        <f t="shared" si="3"/>
        <v>1</v>
      </c>
      <c r="AD16" s="735" t="s">
        <v>551</v>
      </c>
    </row>
    <row r="17" spans="1:32" s="405" customFormat="1" ht="156.75" x14ac:dyDescent="0.2">
      <c r="A17" s="143" t="s">
        <v>494</v>
      </c>
      <c r="B17" s="143" t="s">
        <v>52</v>
      </c>
      <c r="C17" s="143" t="s">
        <v>552</v>
      </c>
      <c r="D17" s="143" t="s">
        <v>553</v>
      </c>
      <c r="E17" s="143" t="s">
        <v>554</v>
      </c>
      <c r="F17" s="143" t="s">
        <v>555</v>
      </c>
      <c r="G17" s="143" t="s">
        <v>556</v>
      </c>
      <c r="H17" s="143">
        <v>1</v>
      </c>
      <c r="I17" s="143" t="s">
        <v>500</v>
      </c>
      <c r="J17" s="143" t="s">
        <v>501</v>
      </c>
      <c r="K17" s="143" t="s">
        <v>502</v>
      </c>
      <c r="L17" s="143" t="s">
        <v>556</v>
      </c>
      <c r="M17" s="356">
        <v>43252</v>
      </c>
      <c r="N17" s="140">
        <v>43830</v>
      </c>
      <c r="O17" s="497">
        <f t="shared" si="0"/>
        <v>82.571428571428569</v>
      </c>
      <c r="P17" s="140">
        <v>43784</v>
      </c>
      <c r="Q17" s="356">
        <v>43784</v>
      </c>
      <c r="R17" s="383">
        <f t="shared" si="7"/>
        <v>-6.5714285714285694</v>
      </c>
      <c r="S17" s="384" t="str">
        <f t="shared" ca="1" si="4"/>
        <v>Alerta</v>
      </c>
      <c r="T17" s="382">
        <v>1</v>
      </c>
      <c r="U17" s="363">
        <f t="shared" si="5"/>
        <v>1</v>
      </c>
      <c r="V17" s="386" t="str">
        <f t="shared" si="6"/>
        <v>100%</v>
      </c>
      <c r="W17" s="407" t="str">
        <f t="shared" si="1"/>
        <v>Cumple</v>
      </c>
      <c r="X17" s="139"/>
      <c r="Y17" s="139" t="s">
        <v>557</v>
      </c>
      <c r="Z17" s="408">
        <f t="shared" si="2"/>
        <v>1</v>
      </c>
      <c r="AA17" s="143"/>
      <c r="AB17" s="143"/>
      <c r="AC17" s="408"/>
      <c r="AD17" s="139"/>
    </row>
    <row r="18" spans="1:32" s="405" customFormat="1" ht="57" x14ac:dyDescent="0.2">
      <c r="A18" s="143" t="s">
        <v>494</v>
      </c>
      <c r="B18" s="143" t="s">
        <v>52</v>
      </c>
      <c r="C18" s="143" t="s">
        <v>558</v>
      </c>
      <c r="D18" s="143" t="s">
        <v>559</v>
      </c>
      <c r="E18" s="143" t="s">
        <v>560</v>
      </c>
      <c r="F18" s="143" t="s">
        <v>561</v>
      </c>
      <c r="G18" s="143" t="s">
        <v>562</v>
      </c>
      <c r="H18" s="143">
        <v>1</v>
      </c>
      <c r="I18" s="143" t="s">
        <v>500</v>
      </c>
      <c r="J18" s="143" t="s">
        <v>501</v>
      </c>
      <c r="K18" s="143" t="s">
        <v>502</v>
      </c>
      <c r="L18" s="143" t="s">
        <v>562</v>
      </c>
      <c r="M18" s="356">
        <v>43252</v>
      </c>
      <c r="N18" s="140">
        <v>43830</v>
      </c>
      <c r="O18" s="497">
        <f t="shared" si="0"/>
        <v>82.571428571428569</v>
      </c>
      <c r="P18" s="140">
        <v>43369</v>
      </c>
      <c r="Q18" s="356">
        <v>43369</v>
      </c>
      <c r="R18" s="383">
        <f t="shared" si="7"/>
        <v>-65.857142857142861</v>
      </c>
      <c r="S18" s="384" t="str">
        <f t="shared" ca="1" si="4"/>
        <v>Alerta</v>
      </c>
      <c r="T18" s="382">
        <v>1</v>
      </c>
      <c r="U18" s="363">
        <f t="shared" si="5"/>
        <v>1</v>
      </c>
      <c r="V18" s="386" t="str">
        <f t="shared" si="6"/>
        <v>100%</v>
      </c>
      <c r="W18" s="407" t="str">
        <f t="shared" si="1"/>
        <v>Cumple</v>
      </c>
      <c r="X18" s="139"/>
      <c r="Y18" s="139" t="s">
        <v>563</v>
      </c>
      <c r="Z18" s="408">
        <f t="shared" si="2"/>
        <v>1</v>
      </c>
      <c r="AA18" s="143"/>
      <c r="AB18" s="143"/>
      <c r="AC18" s="408"/>
      <c r="AD18" s="139"/>
    </row>
    <row r="19" spans="1:32" s="405" customFormat="1" ht="142.5" x14ac:dyDescent="0.2">
      <c r="A19" s="143" t="s">
        <v>494</v>
      </c>
      <c r="B19" s="143" t="s">
        <v>52</v>
      </c>
      <c r="C19" s="143" t="s">
        <v>564</v>
      </c>
      <c r="D19" s="143" t="s">
        <v>565</v>
      </c>
      <c r="E19" s="143" t="s">
        <v>566</v>
      </c>
      <c r="F19" s="143" t="s">
        <v>567</v>
      </c>
      <c r="G19" s="143" t="s">
        <v>568</v>
      </c>
      <c r="H19" s="143">
        <v>1</v>
      </c>
      <c r="I19" s="143" t="s">
        <v>500</v>
      </c>
      <c r="J19" s="143" t="s">
        <v>501</v>
      </c>
      <c r="K19" s="143" t="s">
        <v>502</v>
      </c>
      <c r="L19" s="143" t="s">
        <v>568</v>
      </c>
      <c r="M19" s="356">
        <v>43252</v>
      </c>
      <c r="N19" s="140">
        <v>43830</v>
      </c>
      <c r="O19" s="497">
        <f t="shared" si="0"/>
        <v>82.571428571428569</v>
      </c>
      <c r="P19" s="140">
        <v>44754</v>
      </c>
      <c r="Q19" s="356">
        <v>44754</v>
      </c>
      <c r="R19" s="383">
        <f t="shared" si="7"/>
        <v>132</v>
      </c>
      <c r="S19" s="384" t="str">
        <f t="shared" ca="1" si="4"/>
        <v>Alerta</v>
      </c>
      <c r="T19" s="382">
        <v>1</v>
      </c>
      <c r="U19" s="363">
        <f t="shared" si="5"/>
        <v>1</v>
      </c>
      <c r="V19" s="386">
        <f t="shared" si="6"/>
        <v>0</v>
      </c>
      <c r="W19" s="407" t="str">
        <f t="shared" si="1"/>
        <v>Incumple</v>
      </c>
      <c r="X19" s="139"/>
      <c r="Y19" s="139" t="s">
        <v>569</v>
      </c>
      <c r="Z19" s="408">
        <f t="shared" si="2"/>
        <v>0.5</v>
      </c>
      <c r="AA19" s="143"/>
      <c r="AB19" s="143"/>
      <c r="AC19" s="408"/>
      <c r="AD19" s="139"/>
    </row>
    <row r="20" spans="1:32" s="405" customFormat="1" ht="142.5" x14ac:dyDescent="0.2">
      <c r="A20" s="143" t="s">
        <v>494</v>
      </c>
      <c r="B20" s="143" t="s">
        <v>52</v>
      </c>
      <c r="C20" s="143" t="s">
        <v>570</v>
      </c>
      <c r="D20" s="143" t="s">
        <v>571</v>
      </c>
      <c r="E20" s="143" t="s">
        <v>572</v>
      </c>
      <c r="F20" s="143" t="s">
        <v>573</v>
      </c>
      <c r="G20" s="143" t="s">
        <v>574</v>
      </c>
      <c r="H20" s="355">
        <v>1</v>
      </c>
      <c r="I20" s="143" t="s">
        <v>500</v>
      </c>
      <c r="J20" s="143" t="s">
        <v>501</v>
      </c>
      <c r="K20" s="143" t="s">
        <v>502</v>
      </c>
      <c r="L20" s="143" t="s">
        <v>575</v>
      </c>
      <c r="M20" s="356">
        <v>43252</v>
      </c>
      <c r="N20" s="140">
        <v>45646</v>
      </c>
      <c r="O20" s="497">
        <f t="shared" si="0"/>
        <v>342</v>
      </c>
      <c r="P20" s="140">
        <v>45688</v>
      </c>
      <c r="Q20" s="677">
        <f>P20</f>
        <v>45688</v>
      </c>
      <c r="R20" s="383">
        <f>(Q20-M20)/7-O20</f>
        <v>6</v>
      </c>
      <c r="S20" s="384" t="str">
        <f t="shared" ca="1" si="4"/>
        <v>Alerta</v>
      </c>
      <c r="T20" s="409">
        <v>0.9</v>
      </c>
      <c r="U20" s="363">
        <f t="shared" si="5"/>
        <v>0.9</v>
      </c>
      <c r="V20" s="386">
        <f t="shared" si="6"/>
        <v>0.98245614035087714</v>
      </c>
      <c r="W20" s="407" t="str">
        <f t="shared" si="1"/>
        <v>Incumple</v>
      </c>
      <c r="X20" s="139" t="s">
        <v>576</v>
      </c>
      <c r="Y20" s="139" t="s">
        <v>577</v>
      </c>
      <c r="Z20" s="408">
        <f t="shared" si="2"/>
        <v>0.94122807017543852</v>
      </c>
      <c r="AA20" s="355">
        <v>1</v>
      </c>
      <c r="AB20" s="355">
        <v>1</v>
      </c>
      <c r="AC20" s="408">
        <f t="shared" si="3"/>
        <v>0.98040935672514617</v>
      </c>
      <c r="AD20" s="139" t="s">
        <v>578</v>
      </c>
    </row>
    <row r="21" spans="1:32" s="405" customFormat="1" ht="72" thickBot="1" x14ac:dyDescent="0.25">
      <c r="A21" s="143" t="s">
        <v>494</v>
      </c>
      <c r="B21" s="143" t="s">
        <v>52</v>
      </c>
      <c r="C21" s="143" t="s">
        <v>579</v>
      </c>
      <c r="D21" s="143" t="s">
        <v>571</v>
      </c>
      <c r="E21" s="143" t="s">
        <v>580</v>
      </c>
      <c r="F21" s="143" t="s">
        <v>581</v>
      </c>
      <c r="G21" s="143" t="s">
        <v>556</v>
      </c>
      <c r="H21" s="143">
        <v>1</v>
      </c>
      <c r="I21" s="143" t="s">
        <v>500</v>
      </c>
      <c r="J21" s="143" t="s">
        <v>501</v>
      </c>
      <c r="K21" s="143" t="s">
        <v>502</v>
      </c>
      <c r="L21" s="143" t="s">
        <v>556</v>
      </c>
      <c r="M21" s="356"/>
      <c r="N21" s="140"/>
      <c r="O21" s="497"/>
      <c r="P21" s="140"/>
      <c r="Q21" s="356"/>
      <c r="R21" s="383"/>
      <c r="S21" s="384"/>
      <c r="T21" s="406"/>
      <c r="U21" s="363"/>
      <c r="V21" s="386"/>
      <c r="W21" s="407"/>
      <c r="X21" s="139"/>
      <c r="Y21" s="139" t="s">
        <v>529</v>
      </c>
      <c r="Z21" s="408"/>
      <c r="AA21" s="143"/>
      <c r="AB21" s="143"/>
      <c r="AC21" s="408"/>
      <c r="AD21" s="139"/>
    </row>
    <row r="22" spans="1:32" s="405" customFormat="1" ht="99.75" x14ac:dyDescent="0.2">
      <c r="A22" s="143" t="s">
        <v>494</v>
      </c>
      <c r="B22" s="143" t="s">
        <v>52</v>
      </c>
      <c r="C22" s="143" t="s">
        <v>582</v>
      </c>
      <c r="D22" s="143" t="s">
        <v>571</v>
      </c>
      <c r="E22" s="143" t="s">
        <v>583</v>
      </c>
      <c r="F22" s="143" t="s">
        <v>584</v>
      </c>
      <c r="G22" s="143" t="s">
        <v>585</v>
      </c>
      <c r="H22" s="143">
        <v>1</v>
      </c>
      <c r="I22" s="143" t="s">
        <v>500</v>
      </c>
      <c r="J22" s="143" t="s">
        <v>501</v>
      </c>
      <c r="K22" s="143" t="s">
        <v>502</v>
      </c>
      <c r="L22" s="143" t="s">
        <v>585</v>
      </c>
      <c r="M22" s="356">
        <v>43252</v>
      </c>
      <c r="N22" s="140">
        <v>43830</v>
      </c>
      <c r="O22" s="497">
        <f t="shared" si="0"/>
        <v>82.571428571428569</v>
      </c>
      <c r="P22" s="140">
        <v>44757</v>
      </c>
      <c r="Q22" s="356">
        <v>44757</v>
      </c>
      <c r="R22" s="383">
        <f t="shared" si="7"/>
        <v>132.42857142857144</v>
      </c>
      <c r="S22" s="384" t="str">
        <f t="shared" ca="1" si="4"/>
        <v>Alerta</v>
      </c>
      <c r="T22" s="382">
        <v>1</v>
      </c>
      <c r="U22" s="363">
        <f t="shared" si="5"/>
        <v>1</v>
      </c>
      <c r="V22" s="386">
        <f t="shared" si="6"/>
        <v>0</v>
      </c>
      <c r="W22" s="407" t="str">
        <f t="shared" si="1"/>
        <v>Incumple</v>
      </c>
      <c r="X22" s="139"/>
      <c r="Y22" s="139" t="s">
        <v>586</v>
      </c>
      <c r="Z22" s="408">
        <f t="shared" si="2"/>
        <v>0.5</v>
      </c>
      <c r="AA22" s="143"/>
      <c r="AB22" s="143"/>
      <c r="AC22" s="408"/>
      <c r="AD22" s="139"/>
    </row>
    <row r="23" spans="1:32" s="405" customFormat="1" ht="294.75" customHeight="1" x14ac:dyDescent="0.2">
      <c r="A23" s="143" t="s">
        <v>494</v>
      </c>
      <c r="B23" s="143" t="s">
        <v>52</v>
      </c>
      <c r="C23" s="143" t="s">
        <v>587</v>
      </c>
      <c r="D23" s="143" t="s">
        <v>588</v>
      </c>
      <c r="E23" s="143" t="s">
        <v>589</v>
      </c>
      <c r="F23" s="143" t="s">
        <v>590</v>
      </c>
      <c r="G23" s="143" t="s">
        <v>591</v>
      </c>
      <c r="H23" s="355">
        <v>1</v>
      </c>
      <c r="I23" s="143" t="s">
        <v>500</v>
      </c>
      <c r="J23" s="143" t="s">
        <v>501</v>
      </c>
      <c r="K23" s="143" t="s">
        <v>502</v>
      </c>
      <c r="L23" s="143" t="s">
        <v>592</v>
      </c>
      <c r="M23" s="356">
        <v>43252</v>
      </c>
      <c r="N23" s="140">
        <v>45646</v>
      </c>
      <c r="O23" s="497">
        <f t="shared" si="0"/>
        <v>342</v>
      </c>
      <c r="P23" s="140">
        <v>45688</v>
      </c>
      <c r="Q23" s="677">
        <f>P23</f>
        <v>45688</v>
      </c>
      <c r="R23" s="383">
        <f t="shared" si="7"/>
        <v>6</v>
      </c>
      <c r="S23" s="384" t="str">
        <f t="shared" ca="1" si="4"/>
        <v>Alerta</v>
      </c>
      <c r="T23" s="406">
        <v>0.8</v>
      </c>
      <c r="U23" s="363">
        <f>IF(T23/H23=1,1,+T23/H23)</f>
        <v>0.8</v>
      </c>
      <c r="V23" s="386">
        <f t="shared" si="6"/>
        <v>0.98245614035087714</v>
      </c>
      <c r="W23" s="407" t="str">
        <f t="shared" si="1"/>
        <v>Incumple</v>
      </c>
      <c r="X23" s="139" t="s">
        <v>593</v>
      </c>
      <c r="Y23" s="720" t="s">
        <v>594</v>
      </c>
      <c r="Z23" s="408">
        <f t="shared" si="2"/>
        <v>0.89122807017543859</v>
      </c>
      <c r="AA23" s="143"/>
      <c r="AB23" s="143"/>
      <c r="AC23" s="408">
        <f t="shared" si="3"/>
        <v>0.89122807017543859</v>
      </c>
      <c r="AD23" s="139" t="s">
        <v>595</v>
      </c>
    </row>
    <row r="24" spans="1:32" s="405" customFormat="1" ht="71.25" x14ac:dyDescent="0.2">
      <c r="A24" s="143" t="s">
        <v>494</v>
      </c>
      <c r="B24" s="143" t="s">
        <v>52</v>
      </c>
      <c r="C24" s="143" t="s">
        <v>596</v>
      </c>
      <c r="D24" s="143" t="s">
        <v>597</v>
      </c>
      <c r="E24" s="143" t="s">
        <v>598</v>
      </c>
      <c r="F24" s="143" t="s">
        <v>599</v>
      </c>
      <c r="G24" s="143" t="s">
        <v>600</v>
      </c>
      <c r="H24" s="143">
        <v>1</v>
      </c>
      <c r="I24" s="143" t="s">
        <v>500</v>
      </c>
      <c r="J24" s="143" t="s">
        <v>501</v>
      </c>
      <c r="K24" s="143" t="s">
        <v>502</v>
      </c>
      <c r="L24" s="143" t="s">
        <v>600</v>
      </c>
      <c r="M24" s="356">
        <v>43252</v>
      </c>
      <c r="N24" s="140">
        <v>43830</v>
      </c>
      <c r="O24" s="497">
        <f t="shared" si="0"/>
        <v>82.571428571428569</v>
      </c>
      <c r="P24" s="140">
        <v>43369</v>
      </c>
      <c r="Q24" s="356">
        <v>43369</v>
      </c>
      <c r="R24" s="383">
        <f t="shared" si="7"/>
        <v>-65.857142857142861</v>
      </c>
      <c r="S24" s="384" t="str">
        <f t="shared" ca="1" si="4"/>
        <v>Alerta</v>
      </c>
      <c r="T24" s="382">
        <v>1</v>
      </c>
      <c r="U24" s="363">
        <f t="shared" si="5"/>
        <v>1</v>
      </c>
      <c r="V24" s="386" t="str">
        <f t="shared" si="6"/>
        <v>100%</v>
      </c>
      <c r="W24" s="407" t="str">
        <f t="shared" si="1"/>
        <v>Cumple</v>
      </c>
      <c r="X24" s="139"/>
      <c r="Y24" s="139" t="s">
        <v>601</v>
      </c>
      <c r="Z24" s="408">
        <f t="shared" si="2"/>
        <v>1</v>
      </c>
      <c r="AA24" s="143"/>
      <c r="AB24" s="143"/>
      <c r="AC24" s="408"/>
      <c r="AD24" s="139"/>
    </row>
    <row r="25" spans="1:32" ht="189.75" customHeight="1" thickBot="1" x14ac:dyDescent="0.25">
      <c r="A25" s="139" t="s">
        <v>494</v>
      </c>
      <c r="B25" s="139" t="s">
        <v>52</v>
      </c>
      <c r="C25" s="139" t="s">
        <v>602</v>
      </c>
      <c r="D25" s="139" t="s">
        <v>603</v>
      </c>
      <c r="E25" s="139" t="s">
        <v>604</v>
      </c>
      <c r="F25" s="139" t="s">
        <v>605</v>
      </c>
      <c r="G25" s="139" t="s">
        <v>606</v>
      </c>
      <c r="H25" s="139">
        <v>1</v>
      </c>
      <c r="I25" s="139" t="s">
        <v>500</v>
      </c>
      <c r="J25" s="139" t="s">
        <v>501</v>
      </c>
      <c r="K25" s="139" t="s">
        <v>502</v>
      </c>
      <c r="L25" s="139" t="s">
        <v>606</v>
      </c>
      <c r="M25" s="140"/>
      <c r="N25" s="140"/>
      <c r="O25" s="497"/>
      <c r="P25" s="140"/>
      <c r="Q25" s="140"/>
      <c r="R25" s="208"/>
      <c r="S25" s="209"/>
      <c r="T25" s="299"/>
      <c r="U25" s="111"/>
      <c r="V25" s="210"/>
      <c r="W25" s="211"/>
      <c r="X25" s="139"/>
      <c r="Y25" s="139" t="s">
        <v>529</v>
      </c>
      <c r="Z25" s="235">
        <f t="shared" si="2"/>
        <v>0</v>
      </c>
      <c r="AA25" s="139"/>
      <c r="AB25" s="139"/>
      <c r="AC25" s="235">
        <f t="shared" si="3"/>
        <v>0</v>
      </c>
      <c r="AD25" s="139"/>
    </row>
    <row r="26" spans="1:32" ht="45.75" customHeight="1" thickBot="1" x14ac:dyDescent="0.25">
      <c r="A26"/>
      <c r="B26"/>
      <c r="C26"/>
      <c r="D26"/>
      <c r="E26"/>
      <c r="F26"/>
      <c r="G26" s="212" t="s">
        <v>314</v>
      </c>
      <c r="H26" s="213">
        <f>SUM(H7:H25)</f>
        <v>28</v>
      </c>
      <c r="I26"/>
      <c r="J26"/>
      <c r="K26"/>
      <c r="L26"/>
      <c r="M26"/>
      <c r="N26"/>
      <c r="O26"/>
      <c r="P26"/>
      <c r="Q26" s="910" t="s">
        <v>195</v>
      </c>
      <c r="R26" s="910"/>
      <c r="S26" s="910"/>
      <c r="T26" s="213">
        <f>SUM(T7:T25)</f>
        <v>24.4</v>
      </c>
      <c r="U26" s="214">
        <f>AVERAGE(U7:U25)</f>
        <v>0.96250000000000002</v>
      </c>
      <c r="V26" s="215" t="s">
        <v>44</v>
      </c>
      <c r="W26" s="216">
        <f>(COUNTIF(W7:W25,"Cumple"))/COUNTA(W7:W25)</f>
        <v>0.375</v>
      </c>
      <c r="X26"/>
      <c r="Y26"/>
      <c r="Z26"/>
      <c r="AA26" s="910" t="s">
        <v>195</v>
      </c>
      <c r="AB26" s="910"/>
      <c r="AC26" s="216">
        <f>AVERAGE(AC7:AC25)</f>
        <v>0.73947368421052628</v>
      </c>
      <c r="AD26"/>
      <c r="AE26"/>
      <c r="AF26"/>
    </row>
    <row r="27" spans="1:32" x14ac:dyDescent="0.2">
      <c r="A27"/>
      <c r="B27"/>
      <c r="C27"/>
      <c r="D27"/>
      <c r="E27"/>
      <c r="F27"/>
      <c r="I27"/>
      <c r="J27"/>
      <c r="K27"/>
      <c r="L27"/>
      <c r="M27"/>
      <c r="N27"/>
      <c r="O27"/>
      <c r="P27"/>
      <c r="X27"/>
      <c r="Y27"/>
      <c r="Z27"/>
      <c r="AD27"/>
      <c r="AE27"/>
      <c r="AF27"/>
    </row>
    <row r="28" spans="1:32" x14ac:dyDescent="0.2">
      <c r="A28"/>
      <c r="B28"/>
      <c r="C28"/>
      <c r="D28"/>
      <c r="E28"/>
      <c r="F28"/>
      <c r="I28"/>
      <c r="J28"/>
      <c r="K28"/>
      <c r="L28"/>
      <c r="M28"/>
      <c r="N28"/>
      <c r="O28"/>
      <c r="P28"/>
      <c r="X28"/>
      <c r="Y28"/>
      <c r="Z28"/>
      <c r="AD28"/>
      <c r="AE28"/>
      <c r="AF28"/>
    </row>
    <row r="29" spans="1:32" x14ac:dyDescent="0.2">
      <c r="A29"/>
      <c r="B29"/>
      <c r="C29"/>
      <c r="D29"/>
      <c r="E29"/>
      <c r="F29"/>
      <c r="I29"/>
      <c r="J29"/>
      <c r="K29"/>
      <c r="L29"/>
      <c r="M29"/>
      <c r="N29"/>
      <c r="O29"/>
      <c r="P29"/>
      <c r="T29" s="70"/>
      <c r="X29"/>
      <c r="Y29"/>
      <c r="Z29"/>
      <c r="AD29"/>
      <c r="AE29"/>
      <c r="AF29"/>
    </row>
    <row r="30" spans="1:32" x14ac:dyDescent="0.2">
      <c r="A30"/>
      <c r="B30"/>
      <c r="C30"/>
      <c r="D30"/>
      <c r="E30"/>
      <c r="F30"/>
      <c r="I30"/>
      <c r="J30"/>
      <c r="K30"/>
      <c r="L30"/>
      <c r="M30"/>
      <c r="N30"/>
      <c r="O30"/>
      <c r="P30"/>
      <c r="T30" s="70"/>
      <c r="X30"/>
      <c r="Y30"/>
      <c r="Z30"/>
      <c r="AD30"/>
      <c r="AE30"/>
      <c r="AF30"/>
    </row>
    <row r="31" spans="1:32" x14ac:dyDescent="0.2">
      <c r="A31"/>
      <c r="B31"/>
      <c r="C31"/>
      <c r="D31"/>
      <c r="E31"/>
      <c r="F31"/>
      <c r="I31"/>
      <c r="J31"/>
      <c r="K31"/>
      <c r="L31"/>
      <c r="M31"/>
      <c r="N31"/>
      <c r="O31"/>
      <c r="P31"/>
      <c r="T31" s="70"/>
      <c r="AD31"/>
      <c r="AE31"/>
      <c r="AF31"/>
    </row>
    <row r="32" spans="1:32" x14ac:dyDescent="0.2">
      <c r="A32"/>
      <c r="B32"/>
      <c r="C32"/>
      <c r="D32"/>
      <c r="E32"/>
      <c r="F32"/>
      <c r="I32"/>
      <c r="J32"/>
      <c r="K32"/>
      <c r="L32"/>
      <c r="M32"/>
      <c r="N32"/>
      <c r="O32"/>
      <c r="P32"/>
      <c r="AD32"/>
      <c r="AE32"/>
      <c r="AF32"/>
    </row>
    <row r="33" spans="1:32" x14ac:dyDescent="0.2">
      <c r="A33"/>
      <c r="B33"/>
      <c r="C33"/>
      <c r="D33"/>
      <c r="E33"/>
      <c r="F33"/>
      <c r="I33"/>
      <c r="J33"/>
      <c r="K33"/>
      <c r="L33"/>
      <c r="M33"/>
      <c r="N33"/>
      <c r="O33"/>
      <c r="P33"/>
      <c r="AD33"/>
      <c r="AE33"/>
      <c r="AF33"/>
    </row>
    <row r="34" spans="1:32" x14ac:dyDescent="0.2">
      <c r="A34"/>
      <c r="B34"/>
      <c r="C34"/>
      <c r="D34"/>
      <c r="E34"/>
      <c r="F34"/>
      <c r="I34"/>
      <c r="J34"/>
      <c r="K34"/>
      <c r="L34"/>
      <c r="M34"/>
      <c r="N34"/>
      <c r="O34"/>
      <c r="P34"/>
      <c r="AD34"/>
      <c r="AE34"/>
      <c r="AF34"/>
    </row>
    <row r="35" spans="1:32" x14ac:dyDescent="0.2">
      <c r="A35"/>
      <c r="B35"/>
      <c r="C35"/>
      <c r="D35"/>
      <c r="E35"/>
      <c r="F35"/>
      <c r="I35"/>
      <c r="J35"/>
      <c r="K35"/>
      <c r="L35"/>
      <c r="M35"/>
      <c r="N35"/>
      <c r="O35"/>
      <c r="P35"/>
      <c r="AD35"/>
      <c r="AE35"/>
      <c r="AF35"/>
    </row>
    <row r="36" spans="1:32" x14ac:dyDescent="0.2">
      <c r="A36"/>
      <c r="B36"/>
      <c r="C36"/>
      <c r="D36"/>
      <c r="E36"/>
      <c r="F36"/>
      <c r="I36"/>
      <c r="J36"/>
      <c r="K36"/>
      <c r="L36"/>
      <c r="M36"/>
      <c r="N36"/>
      <c r="O36"/>
      <c r="P36"/>
      <c r="AD36"/>
      <c r="AE36"/>
      <c r="AF36"/>
    </row>
    <row r="37" spans="1:32" x14ac:dyDescent="0.2">
      <c r="I37"/>
      <c r="J37"/>
      <c r="K37"/>
      <c r="L37"/>
      <c r="M37"/>
      <c r="N37"/>
      <c r="O37"/>
      <c r="P37"/>
      <c r="AD37"/>
      <c r="AE37"/>
      <c r="AF37"/>
    </row>
  </sheetData>
  <autoFilter ref="A6:AD26" xr:uid="{E89D4CB8-B9B7-4B43-90B0-4527A4857D6C}"/>
  <mergeCells count="26">
    <mergeCell ref="A1:B1"/>
    <mergeCell ref="C1:N1"/>
    <mergeCell ref="A3:B3"/>
    <mergeCell ref="C3:F3"/>
    <mergeCell ref="G3:H3"/>
    <mergeCell ref="I3:N3"/>
    <mergeCell ref="A2:B2"/>
    <mergeCell ref="C2:F2"/>
    <mergeCell ref="G2:H2"/>
    <mergeCell ref="I2:N2"/>
    <mergeCell ref="A4:B4"/>
    <mergeCell ref="C4:F4"/>
    <mergeCell ref="G4:H4"/>
    <mergeCell ref="I4:N4"/>
    <mergeCell ref="O4:P4"/>
    <mergeCell ref="AA26:AB26"/>
    <mergeCell ref="Q26:S26"/>
    <mergeCell ref="Z1:AD4"/>
    <mergeCell ref="O3:P3"/>
    <mergeCell ref="T4:U4"/>
    <mergeCell ref="V4:Y4"/>
    <mergeCell ref="Q4:S4"/>
    <mergeCell ref="O1:P2"/>
    <mergeCell ref="Q1:Y2"/>
    <mergeCell ref="W3:X3"/>
    <mergeCell ref="Q3:V3"/>
  </mergeCells>
  <conditionalFormatting sqref="R7:R25">
    <cfRule type="cellIs" dxfId="413" priority="32" operator="greaterThan">
      <formula>0</formula>
    </cfRule>
    <cfRule type="cellIs" dxfId="412" priority="33" operator="lessThan">
      <formula>0</formula>
    </cfRule>
  </conditionalFormatting>
  <conditionalFormatting sqref="S7:S25">
    <cfRule type="containsText" dxfId="411" priority="30" operator="containsText" text="Alerta">
      <formula>NOT(ISERROR(SEARCH("Alerta",S7)))</formula>
    </cfRule>
    <cfRule type="containsText" dxfId="410" priority="31" operator="containsText" text="En tiempo">
      <formula>NOT(ISERROR(SEARCH("En tiempo",S7)))</formula>
    </cfRule>
  </conditionalFormatting>
  <conditionalFormatting sqref="U7:U26">
    <cfRule type="cellIs" dxfId="409" priority="9" stopIfTrue="1" operator="between">
      <formula>0.8</formula>
      <formula>1</formula>
    </cfRule>
    <cfRule type="cellIs" dxfId="408" priority="10" stopIfTrue="1" operator="between">
      <formula>0.5</formula>
      <formula>0.79</formula>
    </cfRule>
    <cfRule type="cellIs" dxfId="407" priority="11" stopIfTrue="1" operator="between">
      <formula>0.3</formula>
      <formula>0.49</formula>
    </cfRule>
    <cfRule type="cellIs" dxfId="406" priority="12" stopIfTrue="1" operator="between">
      <formula>0</formula>
      <formula>0.29</formula>
    </cfRule>
  </conditionalFormatting>
  <conditionalFormatting sqref="V7:V25">
    <cfRule type="cellIs" dxfId="405" priority="24" operator="between">
      <formula>0.19</formula>
      <formula>0</formula>
    </cfRule>
    <cfRule type="cellIs" dxfId="404" priority="25" operator="between">
      <formula>0.49</formula>
      <formula>0.2</formula>
    </cfRule>
    <cfRule type="cellIs" dxfId="403" priority="26" operator="between">
      <formula>0.89</formula>
      <formula>0.5</formula>
    </cfRule>
    <cfRule type="cellIs" dxfId="402" priority="27" operator="between">
      <formula>1</formula>
      <formula>0.9</formula>
    </cfRule>
  </conditionalFormatting>
  <conditionalFormatting sqref="W7:W25">
    <cfRule type="containsText" dxfId="401" priority="28" operator="containsText" text="Incumple">
      <formula>NOT(ISERROR(SEARCH("Incumple",W7)))</formula>
    </cfRule>
    <cfRule type="containsText" dxfId="400" priority="29" operator="containsText" text="Cumple">
      <formula>NOT(ISERROR(SEARCH("Cumple",W7)))</formula>
    </cfRule>
  </conditionalFormatting>
  <conditionalFormatting sqref="W26">
    <cfRule type="cellIs" dxfId="399" priority="16" operator="between">
      <formula>0.19</formula>
      <formula>0</formula>
    </cfRule>
    <cfRule type="cellIs" dxfId="398" priority="17" operator="between">
      <formula>0.49</formula>
      <formula>0.2</formula>
    </cfRule>
    <cfRule type="cellIs" dxfId="397" priority="18" operator="between">
      <formula>0.89</formula>
      <formula>0.5</formula>
    </cfRule>
    <cfRule type="cellIs" dxfId="396" priority="19" operator="between">
      <formula>1</formula>
      <formula>0.9</formula>
    </cfRule>
  </conditionalFormatting>
  <conditionalFormatting sqref="Z7:Z25">
    <cfRule type="cellIs" dxfId="395" priority="5" operator="between">
      <formula>0.29</formula>
      <formula>0</formula>
    </cfRule>
    <cfRule type="cellIs" dxfId="394" priority="6" operator="between">
      <formula>0.49</formula>
      <formula>0.3</formula>
    </cfRule>
    <cfRule type="cellIs" dxfId="393" priority="7" operator="between">
      <formula>0.79</formula>
      <formula>0.5</formula>
    </cfRule>
    <cfRule type="cellIs" dxfId="392" priority="8" operator="between">
      <formula>1</formula>
      <formula>0.8</formula>
    </cfRule>
  </conditionalFormatting>
  <conditionalFormatting sqref="AC7:AC25">
    <cfRule type="cellIs" dxfId="391" priority="1" operator="between">
      <formula>0.29</formula>
      <formula>0</formula>
    </cfRule>
    <cfRule type="cellIs" dxfId="390" priority="2" operator="between">
      <formula>0.49</formula>
      <formula>0.3</formula>
    </cfRule>
    <cfRule type="cellIs" dxfId="389" priority="3" operator="between">
      <formula>0.79</formula>
      <formula>0.5</formula>
    </cfRule>
    <cfRule type="cellIs" dxfId="388" priority="4" operator="between">
      <formula>1</formula>
      <formula>0.8</formula>
    </cfRule>
  </conditionalFormatting>
  <conditionalFormatting sqref="AC26">
    <cfRule type="cellIs" dxfId="387" priority="13" operator="between">
      <formula>0.3</formula>
      <formula>0</formula>
    </cfRule>
    <cfRule type="cellIs" dxfId="386" priority="14" operator="between">
      <formula>0.6999</formula>
      <formula>0.3111</formula>
    </cfRule>
    <cfRule type="cellIs" dxfId="385" priority="15" operator="between">
      <formula>1</formula>
      <formula>0.7</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F1EF4-F903-4DEF-9ED0-DBFDEAA65F50}">
  <sheetPr>
    <tabColor theme="0"/>
  </sheetPr>
  <dimension ref="A1:AD30"/>
  <sheetViews>
    <sheetView topLeftCell="M1" zoomScale="77" zoomScaleNormal="77" workbookViewId="0">
      <selection activeCell="W8" sqref="W8"/>
    </sheetView>
  </sheetViews>
  <sheetFormatPr baseColWidth="10" defaultColWidth="18.85546875" defaultRowHeight="12.75" x14ac:dyDescent="0.2"/>
  <cols>
    <col min="1" max="2" width="13.5703125" style="53" customWidth="1"/>
    <col min="3" max="3" width="49" style="53" customWidth="1"/>
    <col min="4" max="4" width="41.5703125" style="53" customWidth="1"/>
    <col min="5" max="5" width="31.5703125" style="53" customWidth="1"/>
    <col min="6" max="6" width="33" style="53" customWidth="1"/>
    <col min="7" max="7" width="22.140625" style="53" customWidth="1"/>
    <col min="8" max="8" width="13.28515625" style="53" customWidth="1"/>
    <col min="9" max="9" width="15.42578125" style="53" customWidth="1"/>
    <col min="10" max="10" width="16.28515625" style="53" customWidth="1"/>
    <col min="11" max="11" width="13" style="53" customWidth="1"/>
    <col min="12" max="12" width="14.28515625" style="53" customWidth="1"/>
    <col min="13" max="14" width="13.42578125" style="53" customWidth="1"/>
    <col min="15" max="15" width="12.42578125" style="53" customWidth="1"/>
    <col min="16" max="16" width="14.140625" style="53" customWidth="1"/>
    <col min="17" max="17" width="18.85546875" style="53" customWidth="1"/>
    <col min="18" max="18" width="14.7109375" style="53" customWidth="1"/>
    <col min="19" max="19" width="13.7109375" style="53" customWidth="1"/>
    <col min="20" max="20" width="16.28515625" style="53" customWidth="1"/>
    <col min="21" max="21" width="15.5703125" style="53" customWidth="1"/>
    <col min="22" max="23" width="13.85546875" style="53" customWidth="1"/>
    <col min="24" max="24" width="50.140625" style="53" customWidth="1"/>
    <col min="25" max="25" width="75.42578125" style="53" customWidth="1"/>
    <col min="26" max="26" width="13.85546875" style="53" bestFit="1" customWidth="1"/>
    <col min="27" max="27" width="11" style="53" customWidth="1"/>
    <col min="28" max="28" width="12" style="53" customWidth="1"/>
    <col min="29" max="29" width="13.85546875" style="53" bestFit="1" customWidth="1"/>
    <col min="30" max="30" width="26.85546875" style="53" customWidth="1"/>
    <col min="31" max="16384" width="18.85546875" style="53"/>
  </cols>
  <sheetData>
    <row r="1" spans="1:30" ht="86.25" customHeight="1" thickBot="1" x14ac:dyDescent="0.25">
      <c r="A1" s="861" t="s">
        <v>0</v>
      </c>
      <c r="B1" s="861"/>
      <c r="C1" s="861" t="s">
        <v>1</v>
      </c>
      <c r="D1" s="861"/>
      <c r="E1" s="861"/>
      <c r="F1" s="861"/>
      <c r="G1" s="861"/>
      <c r="H1" s="861"/>
      <c r="I1" s="861"/>
      <c r="J1" s="861"/>
      <c r="K1" s="861"/>
      <c r="L1" s="861"/>
      <c r="M1" s="861"/>
      <c r="N1" s="861"/>
      <c r="O1" s="861"/>
      <c r="P1" s="861"/>
      <c r="Q1" s="861" t="s">
        <v>2</v>
      </c>
      <c r="R1" s="861"/>
      <c r="S1" s="861"/>
      <c r="T1" s="861"/>
      <c r="U1" s="861"/>
      <c r="V1" s="861"/>
      <c r="W1" s="861"/>
      <c r="X1" s="861"/>
      <c r="Y1" s="861"/>
      <c r="Z1" s="861" t="s">
        <v>2</v>
      </c>
      <c r="AA1" s="861"/>
      <c r="AB1" s="861"/>
      <c r="AC1" s="861"/>
      <c r="AD1" s="861"/>
    </row>
    <row r="2" spans="1:30" ht="22.5" customHeight="1" thickBot="1" x14ac:dyDescent="0.25">
      <c r="A2" s="861" t="s">
        <v>197</v>
      </c>
      <c r="B2" s="861"/>
      <c r="C2" s="861" t="s">
        <v>4</v>
      </c>
      <c r="D2" s="909"/>
      <c r="E2" s="909"/>
      <c r="F2" s="909"/>
      <c r="G2" s="861" t="s">
        <v>5</v>
      </c>
      <c r="H2" s="861"/>
      <c r="I2" s="861" t="s">
        <v>6</v>
      </c>
      <c r="J2" s="861"/>
      <c r="K2" s="861"/>
      <c r="L2" s="861"/>
      <c r="M2" s="861"/>
      <c r="N2" s="861"/>
      <c r="O2" s="861"/>
      <c r="P2" s="861"/>
      <c r="Q2" s="861"/>
      <c r="R2" s="861"/>
      <c r="S2" s="861"/>
      <c r="T2" s="861"/>
      <c r="U2" s="861"/>
      <c r="V2" s="861"/>
      <c r="W2" s="861"/>
      <c r="X2" s="861"/>
      <c r="Y2" s="861"/>
      <c r="Z2" s="861"/>
      <c r="AA2" s="861"/>
      <c r="AB2" s="861"/>
      <c r="AC2" s="861"/>
      <c r="AD2" s="861"/>
    </row>
    <row r="3" spans="1:30" ht="36.75" customHeight="1" x14ac:dyDescent="0.2">
      <c r="A3" s="907" t="s">
        <v>7</v>
      </c>
      <c r="B3" s="907"/>
      <c r="C3" s="861" t="s">
        <v>607</v>
      </c>
      <c r="D3" s="861"/>
      <c r="E3" s="861"/>
      <c r="F3" s="861"/>
      <c r="G3" s="907" t="s">
        <v>9</v>
      </c>
      <c r="H3" s="907"/>
      <c r="I3" s="908">
        <v>44531</v>
      </c>
      <c r="J3" s="861"/>
      <c r="K3" s="861"/>
      <c r="L3" s="861"/>
      <c r="M3" s="861"/>
      <c r="N3" s="861"/>
      <c r="O3" s="907" t="s">
        <v>10</v>
      </c>
      <c r="P3" s="907"/>
      <c r="Q3" s="908">
        <v>45538</v>
      </c>
      <c r="R3" s="908"/>
      <c r="S3" s="908"/>
      <c r="T3" s="908"/>
      <c r="U3" s="908"/>
      <c r="V3" s="908"/>
      <c r="W3" s="907" t="s">
        <v>11</v>
      </c>
      <c r="X3" s="907"/>
      <c r="Y3" s="164" t="s">
        <v>608</v>
      </c>
      <c r="Z3" s="861"/>
      <c r="AA3" s="861"/>
      <c r="AB3" s="861"/>
      <c r="AC3" s="861"/>
      <c r="AD3" s="861"/>
    </row>
    <row r="4" spans="1:30" ht="33" customHeight="1" x14ac:dyDescent="0.2">
      <c r="A4" s="907" t="s">
        <v>13</v>
      </c>
      <c r="B4" s="907"/>
      <c r="C4" s="861" t="s">
        <v>609</v>
      </c>
      <c r="D4" s="861"/>
      <c r="E4" s="861"/>
      <c r="F4" s="861"/>
      <c r="G4" s="907" t="s">
        <v>15</v>
      </c>
      <c r="H4" s="907"/>
      <c r="I4" s="908">
        <v>44926</v>
      </c>
      <c r="J4" s="908"/>
      <c r="K4" s="908"/>
      <c r="L4" s="908"/>
      <c r="M4" s="908"/>
      <c r="N4" s="908"/>
      <c r="O4" s="907" t="s">
        <v>16</v>
      </c>
      <c r="P4" s="907"/>
      <c r="Q4" s="861" t="s">
        <v>491</v>
      </c>
      <c r="R4" s="861"/>
      <c r="S4" s="861"/>
      <c r="T4" s="905" t="s">
        <v>18</v>
      </c>
      <c r="U4" s="905"/>
      <c r="V4" s="861" t="s">
        <v>3127</v>
      </c>
      <c r="W4" s="861"/>
      <c r="X4" s="861"/>
      <c r="Y4" s="861"/>
      <c r="Z4" s="861"/>
      <c r="AA4" s="861"/>
      <c r="AB4" s="861"/>
      <c r="AC4" s="861"/>
      <c r="AD4" s="861"/>
    </row>
    <row r="5" spans="1:30" ht="15.75" thickBot="1" x14ac:dyDescent="0.25">
      <c r="A5" s="848" t="s">
        <v>19</v>
      </c>
      <c r="B5" s="849"/>
      <c r="C5" s="849"/>
      <c r="D5" s="849"/>
      <c r="E5" s="849"/>
      <c r="F5" s="849"/>
      <c r="G5" s="849"/>
      <c r="H5" s="849"/>
      <c r="I5" s="849"/>
      <c r="J5" s="849"/>
      <c r="K5" s="849"/>
      <c r="L5" s="849"/>
      <c r="M5" s="849"/>
      <c r="N5" s="850"/>
      <c r="O5" s="851" t="s">
        <v>20</v>
      </c>
      <c r="P5" s="852"/>
      <c r="Q5" s="852"/>
      <c r="R5" s="852"/>
      <c r="S5" s="852"/>
      <c r="T5" s="852"/>
      <c r="U5" s="852"/>
      <c r="V5" s="852"/>
      <c r="W5" s="852"/>
      <c r="X5" s="852"/>
      <c r="Y5" s="853"/>
      <c r="Z5" s="854" t="s">
        <v>21</v>
      </c>
      <c r="AA5" s="855"/>
      <c r="AB5" s="855"/>
      <c r="AC5" s="855"/>
      <c r="AD5" s="856"/>
    </row>
    <row r="6" spans="1:30" ht="75.75" thickBot="1" x14ac:dyDescent="0.25">
      <c r="A6" s="184" t="s">
        <v>22</v>
      </c>
      <c r="B6" s="184" t="s">
        <v>23</v>
      </c>
      <c r="C6" s="184" t="s">
        <v>493</v>
      </c>
      <c r="D6" s="184" t="s">
        <v>25</v>
      </c>
      <c r="E6" s="184" t="s">
        <v>26</v>
      </c>
      <c r="F6" s="184" t="s">
        <v>27</v>
      </c>
      <c r="G6" s="184" t="s">
        <v>28</v>
      </c>
      <c r="H6" s="184" t="s">
        <v>29</v>
      </c>
      <c r="I6" s="184" t="s">
        <v>30</v>
      </c>
      <c r="J6" s="184" t="s">
        <v>31</v>
      </c>
      <c r="K6" s="184" t="s">
        <v>32</v>
      </c>
      <c r="L6" s="184" t="s">
        <v>33</v>
      </c>
      <c r="M6" s="184" t="s">
        <v>34</v>
      </c>
      <c r="N6" s="184" t="s">
        <v>35</v>
      </c>
      <c r="O6" s="185" t="s">
        <v>36</v>
      </c>
      <c r="P6" s="185" t="s">
        <v>37</v>
      </c>
      <c r="Q6" s="185" t="s">
        <v>38</v>
      </c>
      <c r="R6" s="185" t="s">
        <v>39</v>
      </c>
      <c r="S6" s="185" t="s">
        <v>40</v>
      </c>
      <c r="T6" s="185" t="s">
        <v>41</v>
      </c>
      <c r="U6" s="185" t="s">
        <v>42</v>
      </c>
      <c r="V6" s="185" t="s">
        <v>43</v>
      </c>
      <c r="W6" s="185" t="s">
        <v>44</v>
      </c>
      <c r="X6" s="185" t="s">
        <v>45</v>
      </c>
      <c r="Y6" s="185" t="s">
        <v>46</v>
      </c>
      <c r="Z6" s="186" t="s">
        <v>47</v>
      </c>
      <c r="AA6" s="186" t="s">
        <v>610</v>
      </c>
      <c r="AB6" s="186" t="s">
        <v>49</v>
      </c>
      <c r="AC6" s="186" t="s">
        <v>50</v>
      </c>
      <c r="AD6" s="186" t="s">
        <v>51</v>
      </c>
    </row>
    <row r="7" spans="1:30" s="359" customFormat="1" ht="409.5" x14ac:dyDescent="0.2">
      <c r="A7" s="143" t="s">
        <v>494</v>
      </c>
      <c r="B7" s="143" t="s">
        <v>202</v>
      </c>
      <c r="C7" s="143" t="s">
        <v>611</v>
      </c>
      <c r="D7" s="143" t="s">
        <v>612</v>
      </c>
      <c r="E7" s="143" t="s">
        <v>613</v>
      </c>
      <c r="F7" s="143" t="s">
        <v>614</v>
      </c>
      <c r="G7" s="143" t="s">
        <v>615</v>
      </c>
      <c r="H7" s="143">
        <v>1</v>
      </c>
      <c r="I7" s="143" t="s">
        <v>616</v>
      </c>
      <c r="J7" s="143" t="s">
        <v>501</v>
      </c>
      <c r="K7" s="143" t="s">
        <v>502</v>
      </c>
      <c r="L7" s="143" t="s">
        <v>617</v>
      </c>
      <c r="M7" s="356">
        <v>44531</v>
      </c>
      <c r="N7" s="356">
        <v>44926</v>
      </c>
      <c r="O7" s="360">
        <f>(N7-M7)/7</f>
        <v>56.428571428571431</v>
      </c>
      <c r="P7" s="356">
        <v>45538</v>
      </c>
      <c r="Q7" s="356">
        <f>P7</f>
        <v>45538</v>
      </c>
      <c r="R7" s="361">
        <f>(Q7-M7)/7-O7</f>
        <v>87.428571428571431</v>
      </c>
      <c r="S7" s="362" t="str">
        <f ca="1">IF((N7-TODAY())/7&gt;=0,"En tiempo","Alerta")</f>
        <v>Alerta</v>
      </c>
      <c r="T7" s="366">
        <v>0.8</v>
      </c>
      <c r="U7" s="363">
        <f>IF(T7/H7=1,1,+T7/H7)</f>
        <v>0.8</v>
      </c>
      <c r="V7" s="364">
        <f>IF(R7&gt;O7,0%,IF(R7&lt;=0,"100%",1-(R7/O7)))</f>
        <v>0</v>
      </c>
      <c r="W7" s="365" t="str">
        <f>IF(P7&lt;=N7,"Cumple","Incumple")</f>
        <v>Incumple</v>
      </c>
      <c r="X7" s="225" t="s">
        <v>618</v>
      </c>
      <c r="Y7" s="250" t="s">
        <v>619</v>
      </c>
      <c r="Z7" s="420">
        <f>(U7+V7)/2</f>
        <v>0.4</v>
      </c>
      <c r="AA7" s="143"/>
      <c r="AB7" s="143"/>
      <c r="AC7" s="420"/>
      <c r="AD7" s="143"/>
    </row>
    <row r="8" spans="1:30" s="359" customFormat="1" ht="409.5" x14ac:dyDescent="0.2">
      <c r="A8" s="143" t="s">
        <v>494</v>
      </c>
      <c r="B8" s="143" t="s">
        <v>202</v>
      </c>
      <c r="C8" s="143" t="s">
        <v>620</v>
      </c>
      <c r="D8" s="143" t="s">
        <v>612</v>
      </c>
      <c r="E8" s="143" t="s">
        <v>613</v>
      </c>
      <c r="F8" s="143" t="s">
        <v>614</v>
      </c>
      <c r="G8" s="143" t="s">
        <v>615</v>
      </c>
      <c r="H8" s="143">
        <v>1</v>
      </c>
      <c r="I8" s="143" t="s">
        <v>616</v>
      </c>
      <c r="J8" s="143" t="s">
        <v>501</v>
      </c>
      <c r="K8" s="143" t="s">
        <v>502</v>
      </c>
      <c r="L8" s="143" t="s">
        <v>621</v>
      </c>
      <c r="M8" s="356">
        <v>44531</v>
      </c>
      <c r="N8" s="356">
        <v>44926</v>
      </c>
      <c r="O8" s="360">
        <f t="shared" ref="O8:O29" si="0">(N8-M8)/7</f>
        <v>56.428571428571431</v>
      </c>
      <c r="P8" s="356">
        <v>45538</v>
      </c>
      <c r="Q8" s="356">
        <f>P8</f>
        <v>45538</v>
      </c>
      <c r="R8" s="361">
        <f t="shared" ref="R8:R28" si="1">(Q8-M8)/7-O8</f>
        <v>87.428571428571431</v>
      </c>
      <c r="S8" s="362" t="str">
        <f t="shared" ref="S8:S29" ca="1" si="2">IF((N8-TODAY())/7&gt;=0,"En tiempo","Alerta")</f>
        <v>Alerta</v>
      </c>
      <c r="T8" s="366">
        <v>0.8</v>
      </c>
      <c r="U8" s="363">
        <f t="shared" ref="U8:U29" si="3">IF(T8/H8=1,1,+T8/H8)</f>
        <v>0.8</v>
      </c>
      <c r="V8" s="364">
        <f t="shared" ref="V8:V29" si="4">IF(R8&gt;O8,0%,IF(R8&lt;=0,"100%",1-(R8/O8)))</f>
        <v>0</v>
      </c>
      <c r="W8" s="365" t="str">
        <f>IF(P8&lt;=N8,"Cumple","Incumple")</f>
        <v>Incumple</v>
      </c>
      <c r="X8" s="225" t="s">
        <v>622</v>
      </c>
      <c r="Y8" s="250" t="s">
        <v>623</v>
      </c>
      <c r="Z8" s="420">
        <f t="shared" ref="Z8:Z29" si="5">(U8+V8)/2</f>
        <v>0.4</v>
      </c>
      <c r="AA8" s="143"/>
      <c r="AB8" s="143"/>
      <c r="AC8" s="420"/>
      <c r="AD8" s="251"/>
    </row>
    <row r="9" spans="1:30" s="359" customFormat="1" ht="270.75" x14ac:dyDescent="0.2">
      <c r="A9" s="143" t="s">
        <v>494</v>
      </c>
      <c r="B9" s="143" t="s">
        <v>202</v>
      </c>
      <c r="C9" s="143" t="s">
        <v>624</v>
      </c>
      <c r="D9" s="143" t="s">
        <v>625</v>
      </c>
      <c r="E9" s="143" t="s">
        <v>613</v>
      </c>
      <c r="F9" s="143" t="s">
        <v>626</v>
      </c>
      <c r="G9" s="143" t="s">
        <v>615</v>
      </c>
      <c r="H9" s="143">
        <v>1</v>
      </c>
      <c r="I9" s="143" t="s">
        <v>616</v>
      </c>
      <c r="J9" s="143" t="s">
        <v>501</v>
      </c>
      <c r="K9" s="143" t="s">
        <v>502</v>
      </c>
      <c r="L9" s="143" t="s">
        <v>627</v>
      </c>
      <c r="M9" s="356">
        <v>44531</v>
      </c>
      <c r="N9" s="356">
        <v>44926</v>
      </c>
      <c r="O9" s="360">
        <f t="shared" si="0"/>
        <v>56.428571428571431</v>
      </c>
      <c r="P9" s="356">
        <v>45538</v>
      </c>
      <c r="Q9" s="356">
        <f>P9</f>
        <v>45538</v>
      </c>
      <c r="R9" s="361">
        <f t="shared" si="1"/>
        <v>87.428571428571431</v>
      </c>
      <c r="S9" s="362" t="str">
        <f t="shared" ca="1" si="2"/>
        <v>Alerta</v>
      </c>
      <c r="T9" s="366">
        <v>0.8</v>
      </c>
      <c r="U9" s="363">
        <f t="shared" si="3"/>
        <v>0.8</v>
      </c>
      <c r="V9" s="364">
        <f t="shared" si="4"/>
        <v>0</v>
      </c>
      <c r="W9" s="365" t="str">
        <f t="shared" ref="W9:W27" si="6">IF(P9&lt;=N9,"Cumple","Incumple")</f>
        <v>Incumple</v>
      </c>
      <c r="X9" s="225" t="s">
        <v>628</v>
      </c>
      <c r="Y9" s="223" t="s">
        <v>629</v>
      </c>
      <c r="Z9" s="420">
        <f t="shared" si="5"/>
        <v>0.4</v>
      </c>
      <c r="AA9" s="143"/>
      <c r="AB9" s="143"/>
      <c r="AC9" s="420"/>
      <c r="AD9" s="251"/>
    </row>
    <row r="10" spans="1:30" s="359" customFormat="1" ht="342" x14ac:dyDescent="0.2">
      <c r="A10" s="143" t="s">
        <v>494</v>
      </c>
      <c r="B10" s="143" t="s">
        <v>202</v>
      </c>
      <c r="C10" s="143" t="s">
        <v>630</v>
      </c>
      <c r="D10" s="143" t="s">
        <v>631</v>
      </c>
      <c r="E10" s="143" t="s">
        <v>613</v>
      </c>
      <c r="F10" s="143" t="s">
        <v>632</v>
      </c>
      <c r="G10" s="143" t="s">
        <v>633</v>
      </c>
      <c r="H10" s="143">
        <v>1</v>
      </c>
      <c r="I10" s="143" t="s">
        <v>616</v>
      </c>
      <c r="J10" s="143" t="s">
        <v>501</v>
      </c>
      <c r="K10" s="143" t="s">
        <v>502</v>
      </c>
      <c r="L10" s="143" t="s">
        <v>634</v>
      </c>
      <c r="M10" s="356">
        <v>44531</v>
      </c>
      <c r="N10" s="356">
        <v>44926</v>
      </c>
      <c r="O10" s="360">
        <f t="shared" si="0"/>
        <v>56.428571428571431</v>
      </c>
      <c r="P10" s="356">
        <v>45538</v>
      </c>
      <c r="Q10" s="356">
        <f>P10</f>
        <v>45538</v>
      </c>
      <c r="R10" s="361">
        <f t="shared" si="1"/>
        <v>87.428571428571431</v>
      </c>
      <c r="S10" s="362" t="str">
        <f t="shared" ca="1" si="2"/>
        <v>Alerta</v>
      </c>
      <c r="T10" s="366">
        <v>0.8</v>
      </c>
      <c r="U10" s="363">
        <f t="shared" si="3"/>
        <v>0.8</v>
      </c>
      <c r="V10" s="364">
        <f t="shared" si="4"/>
        <v>0</v>
      </c>
      <c r="W10" s="365" t="str">
        <f t="shared" si="6"/>
        <v>Incumple</v>
      </c>
      <c r="X10" s="225" t="s">
        <v>635</v>
      </c>
      <c r="Y10" s="225" t="s">
        <v>636</v>
      </c>
      <c r="Z10" s="420">
        <f t="shared" si="5"/>
        <v>0.4</v>
      </c>
      <c r="AA10" s="143" t="s">
        <v>0</v>
      </c>
      <c r="AB10" s="143"/>
      <c r="AC10" s="420"/>
      <c r="AD10" s="251" t="s">
        <v>0</v>
      </c>
    </row>
    <row r="11" spans="1:30" s="359" customFormat="1" ht="299.25" x14ac:dyDescent="0.2">
      <c r="A11" s="143" t="s">
        <v>494</v>
      </c>
      <c r="B11" s="143" t="s">
        <v>202</v>
      </c>
      <c r="C11" s="143" t="s">
        <v>637</v>
      </c>
      <c r="D11" s="143" t="s">
        <v>638</v>
      </c>
      <c r="E11" s="143" t="s">
        <v>639</v>
      </c>
      <c r="F11" s="143" t="s">
        <v>640</v>
      </c>
      <c r="G11" s="143" t="s">
        <v>641</v>
      </c>
      <c r="H11" s="143">
        <v>2</v>
      </c>
      <c r="I11" s="143" t="s">
        <v>616</v>
      </c>
      <c r="J11" s="143" t="s">
        <v>501</v>
      </c>
      <c r="K11" s="143" t="s">
        <v>502</v>
      </c>
      <c r="L11" s="143" t="s">
        <v>642</v>
      </c>
      <c r="M11" s="356">
        <v>44531</v>
      </c>
      <c r="N11" s="356">
        <v>44926</v>
      </c>
      <c r="O11" s="360">
        <f t="shared" si="0"/>
        <v>56.428571428571431</v>
      </c>
      <c r="P11" s="356">
        <v>45538</v>
      </c>
      <c r="Q11" s="143"/>
      <c r="R11" s="361">
        <f t="shared" si="1"/>
        <v>-6418</v>
      </c>
      <c r="S11" s="362" t="str">
        <f t="shared" ca="1" si="2"/>
        <v>Alerta</v>
      </c>
      <c r="T11" s="366">
        <v>0.6</v>
      </c>
      <c r="U11" s="363">
        <f t="shared" si="3"/>
        <v>0.3</v>
      </c>
      <c r="V11" s="364" t="str">
        <f t="shared" si="4"/>
        <v>100%</v>
      </c>
      <c r="W11" s="365" t="str">
        <f t="shared" si="6"/>
        <v>Incumple</v>
      </c>
      <c r="X11" s="225" t="s">
        <v>643</v>
      </c>
      <c r="Y11" s="225" t="s">
        <v>644</v>
      </c>
      <c r="Z11" s="420">
        <f t="shared" si="5"/>
        <v>0.65</v>
      </c>
      <c r="AA11" s="143"/>
      <c r="AB11" s="143"/>
      <c r="AC11" s="420"/>
      <c r="AD11" s="251"/>
    </row>
    <row r="12" spans="1:30" s="359" customFormat="1" ht="285" x14ac:dyDescent="0.2">
      <c r="A12" s="143" t="s">
        <v>494</v>
      </c>
      <c r="B12" s="143" t="s">
        <v>202</v>
      </c>
      <c r="C12" s="143" t="s">
        <v>645</v>
      </c>
      <c r="D12" s="143" t="s">
        <v>612</v>
      </c>
      <c r="E12" s="143" t="s">
        <v>613</v>
      </c>
      <c r="F12" s="143" t="s">
        <v>614</v>
      </c>
      <c r="G12" s="143" t="s">
        <v>615</v>
      </c>
      <c r="H12" s="143">
        <v>1</v>
      </c>
      <c r="I12" s="143" t="s">
        <v>616</v>
      </c>
      <c r="J12" s="143" t="s">
        <v>501</v>
      </c>
      <c r="K12" s="143" t="s">
        <v>502</v>
      </c>
      <c r="L12" s="143" t="s">
        <v>646</v>
      </c>
      <c r="M12" s="356">
        <v>44531</v>
      </c>
      <c r="N12" s="356">
        <v>44926</v>
      </c>
      <c r="O12" s="360">
        <f t="shared" si="0"/>
        <v>56.428571428571431</v>
      </c>
      <c r="P12" s="356">
        <v>45538</v>
      </c>
      <c r="Q12" s="356">
        <f t="shared" ref="Q12:Q23" si="7">P12</f>
        <v>45538</v>
      </c>
      <c r="R12" s="361">
        <f t="shared" si="1"/>
        <v>87.428571428571431</v>
      </c>
      <c r="S12" s="362" t="str">
        <f t="shared" ca="1" si="2"/>
        <v>Alerta</v>
      </c>
      <c r="T12" s="366">
        <v>0.3</v>
      </c>
      <c r="U12" s="363">
        <f t="shared" si="3"/>
        <v>0.3</v>
      </c>
      <c r="V12" s="364">
        <f t="shared" si="4"/>
        <v>0</v>
      </c>
      <c r="W12" s="365" t="str">
        <f t="shared" si="6"/>
        <v>Incumple</v>
      </c>
      <c r="X12" s="225" t="s">
        <v>647</v>
      </c>
      <c r="Y12" s="223" t="s">
        <v>648</v>
      </c>
      <c r="Z12" s="420">
        <f t="shared" si="5"/>
        <v>0.15</v>
      </c>
      <c r="AA12" s="143"/>
      <c r="AB12" s="143"/>
      <c r="AC12" s="420"/>
      <c r="AD12" s="251"/>
    </row>
    <row r="13" spans="1:30" s="359" customFormat="1" ht="256.5" x14ac:dyDescent="0.2">
      <c r="A13" s="143" t="s">
        <v>494</v>
      </c>
      <c r="B13" s="143" t="s">
        <v>202</v>
      </c>
      <c r="C13" s="143" t="s">
        <v>649</v>
      </c>
      <c r="D13" s="143" t="s">
        <v>612</v>
      </c>
      <c r="E13" s="143" t="s">
        <v>650</v>
      </c>
      <c r="F13" s="143" t="s">
        <v>651</v>
      </c>
      <c r="G13" s="143" t="s">
        <v>652</v>
      </c>
      <c r="H13" s="143">
        <v>1</v>
      </c>
      <c r="I13" s="143" t="s">
        <v>616</v>
      </c>
      <c r="J13" s="143" t="s">
        <v>501</v>
      </c>
      <c r="K13" s="143" t="s">
        <v>502</v>
      </c>
      <c r="L13" s="143" t="s">
        <v>653</v>
      </c>
      <c r="M13" s="356">
        <v>44531</v>
      </c>
      <c r="N13" s="356">
        <v>44926</v>
      </c>
      <c r="O13" s="360">
        <f t="shared" si="0"/>
        <v>56.428571428571431</v>
      </c>
      <c r="P13" s="356">
        <v>45538</v>
      </c>
      <c r="Q13" s="356">
        <f t="shared" si="7"/>
        <v>45538</v>
      </c>
      <c r="R13" s="361">
        <f t="shared" si="1"/>
        <v>87.428571428571431</v>
      </c>
      <c r="S13" s="362" t="str">
        <f t="shared" ca="1" si="2"/>
        <v>Alerta</v>
      </c>
      <c r="T13" s="366">
        <v>0.8</v>
      </c>
      <c r="U13" s="363">
        <f t="shared" si="3"/>
        <v>0.8</v>
      </c>
      <c r="V13" s="364">
        <f t="shared" si="4"/>
        <v>0</v>
      </c>
      <c r="W13" s="365" t="str">
        <f t="shared" si="6"/>
        <v>Incumple</v>
      </c>
      <c r="X13" s="225" t="s">
        <v>654</v>
      </c>
      <c r="Y13" s="225" t="s">
        <v>655</v>
      </c>
      <c r="Z13" s="420">
        <f t="shared" si="5"/>
        <v>0.4</v>
      </c>
      <c r="AA13" s="143"/>
      <c r="AB13" s="143"/>
      <c r="AC13" s="420"/>
      <c r="AD13" s="251"/>
    </row>
    <row r="14" spans="1:30" s="359" customFormat="1" ht="242.25" x14ac:dyDescent="0.2">
      <c r="A14" s="143" t="s">
        <v>494</v>
      </c>
      <c r="B14" s="143" t="s">
        <v>202</v>
      </c>
      <c r="C14" s="143" t="s">
        <v>656</v>
      </c>
      <c r="D14" s="143" t="s">
        <v>612</v>
      </c>
      <c r="E14" s="143" t="s">
        <v>650</v>
      </c>
      <c r="F14" s="143" t="s">
        <v>651</v>
      </c>
      <c r="G14" s="143" t="s">
        <v>652</v>
      </c>
      <c r="H14" s="143">
        <v>1</v>
      </c>
      <c r="I14" s="143" t="s">
        <v>616</v>
      </c>
      <c r="J14" s="143" t="s">
        <v>501</v>
      </c>
      <c r="K14" s="143" t="s">
        <v>502</v>
      </c>
      <c r="L14" s="143" t="s">
        <v>653</v>
      </c>
      <c r="M14" s="356">
        <v>44531</v>
      </c>
      <c r="N14" s="356">
        <v>44926</v>
      </c>
      <c r="O14" s="360">
        <f t="shared" si="0"/>
        <v>56.428571428571431</v>
      </c>
      <c r="P14" s="356">
        <v>45538</v>
      </c>
      <c r="Q14" s="356">
        <f t="shared" si="7"/>
        <v>45538</v>
      </c>
      <c r="R14" s="361">
        <f t="shared" si="1"/>
        <v>87.428571428571431</v>
      </c>
      <c r="S14" s="362" t="str">
        <f t="shared" ca="1" si="2"/>
        <v>Alerta</v>
      </c>
      <c r="T14" s="366">
        <v>0.8</v>
      </c>
      <c r="U14" s="363">
        <f t="shared" si="3"/>
        <v>0.8</v>
      </c>
      <c r="V14" s="364">
        <f t="shared" si="4"/>
        <v>0</v>
      </c>
      <c r="W14" s="365" t="str">
        <f t="shared" si="6"/>
        <v>Incumple</v>
      </c>
      <c r="X14" s="225" t="s">
        <v>657</v>
      </c>
      <c r="Y14" s="225" t="s">
        <v>658</v>
      </c>
      <c r="Z14" s="420">
        <f t="shared" si="5"/>
        <v>0.4</v>
      </c>
      <c r="AA14" s="143"/>
      <c r="AB14" s="143"/>
      <c r="AC14" s="420"/>
      <c r="AD14" s="251"/>
    </row>
    <row r="15" spans="1:30" s="359" customFormat="1" ht="242.25" x14ac:dyDescent="0.2">
      <c r="A15" s="143" t="s">
        <v>494</v>
      </c>
      <c r="B15" s="143" t="s">
        <v>202</v>
      </c>
      <c r="C15" s="143" t="s">
        <v>659</v>
      </c>
      <c r="D15" s="143" t="s">
        <v>612</v>
      </c>
      <c r="E15" s="143" t="s">
        <v>660</v>
      </c>
      <c r="F15" s="143" t="s">
        <v>661</v>
      </c>
      <c r="G15" s="143" t="s">
        <v>652</v>
      </c>
      <c r="H15" s="143">
        <v>1</v>
      </c>
      <c r="I15" s="143" t="s">
        <v>616</v>
      </c>
      <c r="J15" s="143" t="s">
        <v>501</v>
      </c>
      <c r="K15" s="143" t="s">
        <v>502</v>
      </c>
      <c r="L15" s="143" t="s">
        <v>662</v>
      </c>
      <c r="M15" s="356">
        <v>44531</v>
      </c>
      <c r="N15" s="356">
        <v>44926</v>
      </c>
      <c r="O15" s="360">
        <f t="shared" si="0"/>
        <v>56.428571428571431</v>
      </c>
      <c r="P15" s="356">
        <v>45538</v>
      </c>
      <c r="Q15" s="356">
        <f t="shared" si="7"/>
        <v>45538</v>
      </c>
      <c r="R15" s="361">
        <f t="shared" si="1"/>
        <v>87.428571428571431</v>
      </c>
      <c r="S15" s="362" t="str">
        <f t="shared" ca="1" si="2"/>
        <v>Alerta</v>
      </c>
      <c r="T15" s="366">
        <v>0.8</v>
      </c>
      <c r="U15" s="363">
        <f t="shared" si="3"/>
        <v>0.8</v>
      </c>
      <c r="V15" s="364">
        <f t="shared" si="4"/>
        <v>0</v>
      </c>
      <c r="W15" s="365" t="str">
        <f t="shared" si="6"/>
        <v>Incumple</v>
      </c>
      <c r="X15" s="225" t="s">
        <v>657</v>
      </c>
      <c r="Y15" s="225" t="s">
        <v>658</v>
      </c>
      <c r="Z15" s="420">
        <f t="shared" si="5"/>
        <v>0.4</v>
      </c>
      <c r="AA15" s="143"/>
      <c r="AB15" s="143"/>
      <c r="AC15" s="420"/>
      <c r="AD15" s="251"/>
    </row>
    <row r="16" spans="1:30" s="359" customFormat="1" ht="242.25" x14ac:dyDescent="0.2">
      <c r="A16" s="143" t="s">
        <v>494</v>
      </c>
      <c r="B16" s="143" t="s">
        <v>202</v>
      </c>
      <c r="C16" s="143" t="s">
        <v>663</v>
      </c>
      <c r="D16" s="143" t="s">
        <v>612</v>
      </c>
      <c r="E16" s="143" t="s">
        <v>664</v>
      </c>
      <c r="F16" s="143" t="s">
        <v>665</v>
      </c>
      <c r="G16" s="143" t="s">
        <v>652</v>
      </c>
      <c r="H16" s="143">
        <v>1</v>
      </c>
      <c r="I16" s="143" t="s">
        <v>616</v>
      </c>
      <c r="J16" s="143" t="s">
        <v>501</v>
      </c>
      <c r="K16" s="143" t="s">
        <v>502</v>
      </c>
      <c r="L16" s="143" t="s">
        <v>666</v>
      </c>
      <c r="M16" s="356">
        <v>44531</v>
      </c>
      <c r="N16" s="356">
        <v>44926</v>
      </c>
      <c r="O16" s="360">
        <f t="shared" si="0"/>
        <v>56.428571428571431</v>
      </c>
      <c r="P16" s="356">
        <v>45538</v>
      </c>
      <c r="Q16" s="356">
        <f t="shared" si="7"/>
        <v>45538</v>
      </c>
      <c r="R16" s="361">
        <f t="shared" si="1"/>
        <v>87.428571428571431</v>
      </c>
      <c r="S16" s="362" t="str">
        <f t="shared" ca="1" si="2"/>
        <v>Alerta</v>
      </c>
      <c r="T16" s="366">
        <v>0.8</v>
      </c>
      <c r="U16" s="363">
        <f t="shared" si="3"/>
        <v>0.8</v>
      </c>
      <c r="V16" s="364">
        <f t="shared" si="4"/>
        <v>0</v>
      </c>
      <c r="W16" s="365" t="str">
        <f t="shared" si="6"/>
        <v>Incumple</v>
      </c>
      <c r="X16" s="225" t="s">
        <v>667</v>
      </c>
      <c r="Y16" s="225" t="s">
        <v>658</v>
      </c>
      <c r="Z16" s="420">
        <f t="shared" si="5"/>
        <v>0.4</v>
      </c>
      <c r="AA16" s="143"/>
      <c r="AB16" s="143"/>
      <c r="AC16" s="420"/>
      <c r="AD16" s="251"/>
    </row>
    <row r="17" spans="1:30" s="359" customFormat="1" ht="242.25" x14ac:dyDescent="0.2">
      <c r="A17" s="143" t="s">
        <v>494</v>
      </c>
      <c r="B17" s="143" t="s">
        <v>202</v>
      </c>
      <c r="C17" s="143" t="s">
        <v>668</v>
      </c>
      <c r="D17" s="143" t="s">
        <v>612</v>
      </c>
      <c r="E17" s="143" t="s">
        <v>669</v>
      </c>
      <c r="F17" s="143" t="s">
        <v>614</v>
      </c>
      <c r="G17" s="143" t="s">
        <v>615</v>
      </c>
      <c r="H17" s="143">
        <v>1</v>
      </c>
      <c r="I17" s="143" t="s">
        <v>616</v>
      </c>
      <c r="J17" s="143" t="s">
        <v>501</v>
      </c>
      <c r="K17" s="143" t="s">
        <v>502</v>
      </c>
      <c r="L17" s="143" t="s">
        <v>662</v>
      </c>
      <c r="M17" s="356">
        <v>44531</v>
      </c>
      <c r="N17" s="356">
        <v>44926</v>
      </c>
      <c r="O17" s="360">
        <f t="shared" si="0"/>
        <v>56.428571428571431</v>
      </c>
      <c r="P17" s="356">
        <v>45538</v>
      </c>
      <c r="Q17" s="356">
        <f t="shared" si="7"/>
        <v>45538</v>
      </c>
      <c r="R17" s="361">
        <f t="shared" si="1"/>
        <v>87.428571428571431</v>
      </c>
      <c r="S17" s="362" t="str">
        <f t="shared" ca="1" si="2"/>
        <v>Alerta</v>
      </c>
      <c r="T17" s="366">
        <v>0.8</v>
      </c>
      <c r="U17" s="363">
        <f t="shared" si="3"/>
        <v>0.8</v>
      </c>
      <c r="V17" s="364">
        <f t="shared" si="4"/>
        <v>0</v>
      </c>
      <c r="W17" s="365" t="str">
        <f t="shared" si="6"/>
        <v>Incumple</v>
      </c>
      <c r="X17" s="225" t="s">
        <v>670</v>
      </c>
      <c r="Y17" s="225" t="s">
        <v>658</v>
      </c>
      <c r="Z17" s="420">
        <f t="shared" si="5"/>
        <v>0.4</v>
      </c>
      <c r="AA17" s="143"/>
      <c r="AB17" s="143"/>
      <c r="AC17" s="420"/>
      <c r="AD17" s="251"/>
    </row>
    <row r="18" spans="1:30" s="359" customFormat="1" ht="242.25" x14ac:dyDescent="0.2">
      <c r="A18" s="143" t="s">
        <v>494</v>
      </c>
      <c r="B18" s="143" t="s">
        <v>202</v>
      </c>
      <c r="C18" s="143" t="s">
        <v>612</v>
      </c>
      <c r="D18" s="143" t="s">
        <v>612</v>
      </c>
      <c r="E18" s="143" t="s">
        <v>671</v>
      </c>
      <c r="F18" s="143" t="s">
        <v>614</v>
      </c>
      <c r="G18" s="143" t="s">
        <v>615</v>
      </c>
      <c r="H18" s="143">
        <v>1</v>
      </c>
      <c r="I18" s="143" t="s">
        <v>616</v>
      </c>
      <c r="J18" s="143" t="s">
        <v>501</v>
      </c>
      <c r="K18" s="143" t="s">
        <v>502</v>
      </c>
      <c r="L18" s="143" t="s">
        <v>617</v>
      </c>
      <c r="M18" s="356">
        <v>44531</v>
      </c>
      <c r="N18" s="356">
        <v>44926</v>
      </c>
      <c r="O18" s="360">
        <f t="shared" si="0"/>
        <v>56.428571428571431</v>
      </c>
      <c r="P18" s="356">
        <v>45538</v>
      </c>
      <c r="Q18" s="356">
        <f t="shared" si="7"/>
        <v>45538</v>
      </c>
      <c r="R18" s="361">
        <f t="shared" si="1"/>
        <v>87.428571428571431</v>
      </c>
      <c r="S18" s="362" t="str">
        <f t="shared" ca="1" si="2"/>
        <v>Alerta</v>
      </c>
      <c r="T18" s="366">
        <v>0.8</v>
      </c>
      <c r="U18" s="363">
        <f t="shared" si="3"/>
        <v>0.8</v>
      </c>
      <c r="V18" s="364">
        <f t="shared" si="4"/>
        <v>0</v>
      </c>
      <c r="W18" s="365" t="str">
        <f t="shared" si="6"/>
        <v>Incumple</v>
      </c>
      <c r="X18" s="225" t="s">
        <v>672</v>
      </c>
      <c r="Y18" s="225" t="s">
        <v>658</v>
      </c>
      <c r="Z18" s="420">
        <f t="shared" si="5"/>
        <v>0.4</v>
      </c>
      <c r="AA18" s="143"/>
      <c r="AB18" s="143"/>
      <c r="AC18" s="420"/>
      <c r="AD18" s="251"/>
    </row>
    <row r="19" spans="1:30" s="359" customFormat="1" ht="270.75" x14ac:dyDescent="0.2">
      <c r="A19" s="143" t="s">
        <v>494</v>
      </c>
      <c r="B19" s="143" t="s">
        <v>202</v>
      </c>
      <c r="C19" s="143" t="s">
        <v>673</v>
      </c>
      <c r="D19" s="143" t="s">
        <v>612</v>
      </c>
      <c r="E19" s="143" t="s">
        <v>613</v>
      </c>
      <c r="F19" s="143" t="s">
        <v>674</v>
      </c>
      <c r="G19" s="143" t="s">
        <v>615</v>
      </c>
      <c r="H19" s="143">
        <v>1</v>
      </c>
      <c r="I19" s="143" t="s">
        <v>616</v>
      </c>
      <c r="J19" s="143" t="s">
        <v>501</v>
      </c>
      <c r="K19" s="143" t="s">
        <v>502</v>
      </c>
      <c r="L19" s="143" t="s">
        <v>662</v>
      </c>
      <c r="M19" s="356">
        <v>44531</v>
      </c>
      <c r="N19" s="356">
        <v>44926</v>
      </c>
      <c r="O19" s="360">
        <f t="shared" si="0"/>
        <v>56.428571428571431</v>
      </c>
      <c r="P19" s="356">
        <v>45538</v>
      </c>
      <c r="Q19" s="356">
        <f t="shared" si="7"/>
        <v>45538</v>
      </c>
      <c r="R19" s="361">
        <f t="shared" si="1"/>
        <v>87.428571428571431</v>
      </c>
      <c r="S19" s="362" t="str">
        <f t="shared" ca="1" si="2"/>
        <v>Alerta</v>
      </c>
      <c r="T19" s="366">
        <v>0.3</v>
      </c>
      <c r="U19" s="363">
        <f t="shared" si="3"/>
        <v>0.3</v>
      </c>
      <c r="V19" s="364">
        <f t="shared" si="4"/>
        <v>0</v>
      </c>
      <c r="W19" s="365" t="str">
        <f t="shared" si="6"/>
        <v>Incumple</v>
      </c>
      <c r="X19" s="225" t="s">
        <v>675</v>
      </c>
      <c r="Y19" s="223" t="s">
        <v>676</v>
      </c>
      <c r="Z19" s="420">
        <f>(U19+V19)/2</f>
        <v>0.15</v>
      </c>
      <c r="AA19" s="143"/>
      <c r="AB19" s="143"/>
      <c r="AC19" s="420"/>
      <c r="AD19" s="251"/>
    </row>
    <row r="20" spans="1:30" s="359" customFormat="1" ht="256.5" x14ac:dyDescent="0.2">
      <c r="A20" s="143" t="s">
        <v>494</v>
      </c>
      <c r="B20" s="143" t="s">
        <v>202</v>
      </c>
      <c r="C20" s="143" t="s">
        <v>677</v>
      </c>
      <c r="D20" s="143" t="s">
        <v>612</v>
      </c>
      <c r="E20" s="143" t="s">
        <v>613</v>
      </c>
      <c r="F20" s="143" t="s">
        <v>614</v>
      </c>
      <c r="G20" s="143" t="s">
        <v>615</v>
      </c>
      <c r="H20" s="143">
        <v>1</v>
      </c>
      <c r="I20" s="143" t="s">
        <v>616</v>
      </c>
      <c r="J20" s="143" t="s">
        <v>501</v>
      </c>
      <c r="K20" s="143" t="s">
        <v>502</v>
      </c>
      <c r="L20" s="143" t="s">
        <v>646</v>
      </c>
      <c r="M20" s="356">
        <v>44531</v>
      </c>
      <c r="N20" s="356">
        <v>44926</v>
      </c>
      <c r="O20" s="360">
        <f t="shared" si="0"/>
        <v>56.428571428571431</v>
      </c>
      <c r="P20" s="356">
        <v>45538</v>
      </c>
      <c r="Q20" s="356">
        <f t="shared" si="7"/>
        <v>45538</v>
      </c>
      <c r="R20" s="361">
        <f t="shared" si="1"/>
        <v>87.428571428571431</v>
      </c>
      <c r="S20" s="362" t="str">
        <f t="shared" ca="1" si="2"/>
        <v>Alerta</v>
      </c>
      <c r="T20" s="366">
        <v>0.8</v>
      </c>
      <c r="U20" s="363">
        <f t="shared" si="3"/>
        <v>0.8</v>
      </c>
      <c r="V20" s="364">
        <f t="shared" si="4"/>
        <v>0</v>
      </c>
      <c r="W20" s="365" t="str">
        <f t="shared" si="6"/>
        <v>Incumple</v>
      </c>
      <c r="X20" s="225" t="s">
        <v>678</v>
      </c>
      <c r="Y20" s="223" t="s">
        <v>679</v>
      </c>
      <c r="Z20" s="420">
        <f t="shared" si="5"/>
        <v>0.4</v>
      </c>
      <c r="AA20" s="143"/>
      <c r="AB20" s="143"/>
      <c r="AC20" s="420"/>
      <c r="AD20" s="251"/>
    </row>
    <row r="21" spans="1:30" s="359" customFormat="1" ht="256.5" x14ac:dyDescent="0.2">
      <c r="A21" s="143" t="s">
        <v>494</v>
      </c>
      <c r="B21" s="143" t="s">
        <v>202</v>
      </c>
      <c r="C21" s="143" t="s">
        <v>680</v>
      </c>
      <c r="D21" s="143" t="s">
        <v>612</v>
      </c>
      <c r="E21" s="143" t="s">
        <v>671</v>
      </c>
      <c r="F21" s="143" t="s">
        <v>614</v>
      </c>
      <c r="G21" s="143" t="s">
        <v>615</v>
      </c>
      <c r="H21" s="143">
        <v>1</v>
      </c>
      <c r="I21" s="143" t="s">
        <v>616</v>
      </c>
      <c r="J21" s="143" t="s">
        <v>501</v>
      </c>
      <c r="K21" s="143" t="s">
        <v>502</v>
      </c>
      <c r="L21" s="143" t="s">
        <v>646</v>
      </c>
      <c r="M21" s="356">
        <v>44531</v>
      </c>
      <c r="N21" s="356">
        <v>44926</v>
      </c>
      <c r="O21" s="360">
        <f t="shared" si="0"/>
        <v>56.428571428571431</v>
      </c>
      <c r="P21" s="356">
        <v>45538</v>
      </c>
      <c r="Q21" s="356">
        <f t="shared" si="7"/>
        <v>45538</v>
      </c>
      <c r="R21" s="361">
        <f t="shared" si="1"/>
        <v>87.428571428571431</v>
      </c>
      <c r="S21" s="362" t="str">
        <f t="shared" ca="1" si="2"/>
        <v>Alerta</v>
      </c>
      <c r="T21" s="366">
        <v>0.8</v>
      </c>
      <c r="U21" s="363">
        <f t="shared" si="3"/>
        <v>0.8</v>
      </c>
      <c r="V21" s="364">
        <f t="shared" si="4"/>
        <v>0</v>
      </c>
      <c r="W21" s="365" t="str">
        <f t="shared" si="6"/>
        <v>Incumple</v>
      </c>
      <c r="X21" s="225" t="s">
        <v>681</v>
      </c>
      <c r="Y21" s="223" t="s">
        <v>679</v>
      </c>
      <c r="Z21" s="420">
        <f t="shared" si="5"/>
        <v>0.4</v>
      </c>
      <c r="AA21" s="143"/>
      <c r="AB21" s="143"/>
      <c r="AC21" s="420"/>
      <c r="AD21" s="251"/>
    </row>
    <row r="22" spans="1:30" s="359" customFormat="1" ht="171" x14ac:dyDescent="0.2">
      <c r="A22" s="143" t="s">
        <v>494</v>
      </c>
      <c r="B22" s="143" t="s">
        <v>202</v>
      </c>
      <c r="C22" s="143" t="s">
        <v>682</v>
      </c>
      <c r="D22" s="143" t="s">
        <v>612</v>
      </c>
      <c r="E22" s="143" t="s">
        <v>671</v>
      </c>
      <c r="F22" s="143" t="s">
        <v>614</v>
      </c>
      <c r="G22" s="143" t="s">
        <v>615</v>
      </c>
      <c r="H22" s="143">
        <v>1</v>
      </c>
      <c r="I22" s="143" t="s">
        <v>616</v>
      </c>
      <c r="J22" s="143" t="s">
        <v>501</v>
      </c>
      <c r="K22" s="143" t="s">
        <v>502</v>
      </c>
      <c r="L22" s="143" t="s">
        <v>646</v>
      </c>
      <c r="M22" s="356">
        <v>44531</v>
      </c>
      <c r="N22" s="356">
        <v>44926</v>
      </c>
      <c r="O22" s="360">
        <f t="shared" si="0"/>
        <v>56.428571428571431</v>
      </c>
      <c r="P22" s="356">
        <v>45538</v>
      </c>
      <c r="Q22" s="356">
        <f t="shared" si="7"/>
        <v>45538</v>
      </c>
      <c r="R22" s="361">
        <f t="shared" si="1"/>
        <v>87.428571428571431</v>
      </c>
      <c r="S22" s="362" t="str">
        <f t="shared" ca="1" si="2"/>
        <v>Alerta</v>
      </c>
      <c r="T22" s="366">
        <v>0.8</v>
      </c>
      <c r="U22" s="363">
        <f t="shared" si="3"/>
        <v>0.8</v>
      </c>
      <c r="V22" s="364">
        <f t="shared" si="4"/>
        <v>0</v>
      </c>
      <c r="W22" s="365" t="str">
        <f t="shared" si="6"/>
        <v>Incumple</v>
      </c>
      <c r="X22" s="225" t="s">
        <v>683</v>
      </c>
      <c r="Y22" s="223" t="s">
        <v>684</v>
      </c>
      <c r="Z22" s="420">
        <f t="shared" si="5"/>
        <v>0.4</v>
      </c>
      <c r="AA22" s="143"/>
      <c r="AB22" s="143"/>
      <c r="AC22" s="420"/>
      <c r="AD22" s="251"/>
    </row>
    <row r="23" spans="1:30" s="359" customFormat="1" ht="228" x14ac:dyDescent="0.2">
      <c r="A23" s="143" t="s">
        <v>494</v>
      </c>
      <c r="B23" s="143" t="s">
        <v>202</v>
      </c>
      <c r="C23" s="143" t="s">
        <v>685</v>
      </c>
      <c r="D23" s="143" t="s">
        <v>686</v>
      </c>
      <c r="E23" s="143" t="s">
        <v>687</v>
      </c>
      <c r="F23" s="143" t="s">
        <v>688</v>
      </c>
      <c r="G23" s="143" t="s">
        <v>652</v>
      </c>
      <c r="H23" s="143">
        <v>1</v>
      </c>
      <c r="I23" s="143" t="s">
        <v>689</v>
      </c>
      <c r="J23" s="143" t="s">
        <v>501</v>
      </c>
      <c r="K23" s="143" t="s">
        <v>502</v>
      </c>
      <c r="L23" s="143" t="s">
        <v>690</v>
      </c>
      <c r="M23" s="356">
        <v>44531</v>
      </c>
      <c r="N23" s="356">
        <v>44926</v>
      </c>
      <c r="O23" s="360">
        <f t="shared" si="0"/>
        <v>56.428571428571431</v>
      </c>
      <c r="P23" s="356">
        <v>45538</v>
      </c>
      <c r="Q23" s="356">
        <f t="shared" si="7"/>
        <v>45538</v>
      </c>
      <c r="R23" s="361">
        <f t="shared" si="1"/>
        <v>87.428571428571431</v>
      </c>
      <c r="S23" s="362" t="str">
        <f t="shared" ca="1" si="2"/>
        <v>Alerta</v>
      </c>
      <c r="T23" s="366">
        <v>0</v>
      </c>
      <c r="U23" s="363">
        <f t="shared" si="3"/>
        <v>0</v>
      </c>
      <c r="V23" s="364">
        <f t="shared" si="4"/>
        <v>0</v>
      </c>
      <c r="W23" s="365" t="str">
        <f t="shared" si="6"/>
        <v>Incumple</v>
      </c>
      <c r="X23" s="225" t="s">
        <v>672</v>
      </c>
      <c r="Y23" s="223" t="s">
        <v>691</v>
      </c>
      <c r="Z23" s="420">
        <f t="shared" si="5"/>
        <v>0</v>
      </c>
      <c r="AA23" s="143"/>
      <c r="AB23" s="143"/>
      <c r="AC23" s="420"/>
      <c r="AD23" s="251"/>
    </row>
    <row r="24" spans="1:30" s="359" customFormat="1" ht="114" x14ac:dyDescent="0.2">
      <c r="A24" s="143" t="s">
        <v>494</v>
      </c>
      <c r="B24" s="143" t="s">
        <v>202</v>
      </c>
      <c r="C24" s="143" t="s">
        <v>692</v>
      </c>
      <c r="D24" s="143" t="s">
        <v>162</v>
      </c>
      <c r="E24" s="143" t="s">
        <v>162</v>
      </c>
      <c r="F24" s="143" t="s">
        <v>693</v>
      </c>
      <c r="G24" s="143" t="s">
        <v>694</v>
      </c>
      <c r="H24" s="143">
        <v>1</v>
      </c>
      <c r="I24" s="143" t="s">
        <v>616</v>
      </c>
      <c r="J24" s="143" t="s">
        <v>501</v>
      </c>
      <c r="K24" s="143" t="s">
        <v>502</v>
      </c>
      <c r="L24" s="143" t="s">
        <v>662</v>
      </c>
      <c r="M24" s="356">
        <v>44531</v>
      </c>
      <c r="N24" s="356">
        <v>44926</v>
      </c>
      <c r="O24" s="360">
        <f t="shared" si="0"/>
        <v>56.428571428571431</v>
      </c>
      <c r="P24" s="356">
        <v>44907</v>
      </c>
      <c r="Q24" s="356">
        <v>44907</v>
      </c>
      <c r="R24" s="361">
        <f t="shared" si="1"/>
        <v>-2.7142857142857153</v>
      </c>
      <c r="S24" s="362" t="str">
        <f ca="1">IF((N24-TODAY())/7&gt;=0,"En tiempo","Alerta")</f>
        <v>Alerta</v>
      </c>
      <c r="T24" s="366">
        <v>1</v>
      </c>
      <c r="U24" s="363">
        <f t="shared" si="3"/>
        <v>1</v>
      </c>
      <c r="V24" s="364" t="str">
        <f t="shared" si="4"/>
        <v>100%</v>
      </c>
      <c r="W24" s="365" t="str">
        <f>IF(Q24&lt;=N24,"Cumple","Incumple")</f>
        <v>Cumple</v>
      </c>
      <c r="X24" s="143" t="s">
        <v>695</v>
      </c>
      <c r="Y24" s="251" t="s">
        <v>696</v>
      </c>
      <c r="Z24" s="420">
        <f t="shared" si="5"/>
        <v>1</v>
      </c>
      <c r="AA24" s="143"/>
      <c r="AB24" s="143"/>
      <c r="AC24" s="420"/>
      <c r="AD24" s="251"/>
    </row>
    <row r="25" spans="1:30" s="359" customFormat="1" ht="128.25" x14ac:dyDescent="0.2">
      <c r="A25" s="143" t="s">
        <v>494</v>
      </c>
      <c r="B25" s="143" t="s">
        <v>202</v>
      </c>
      <c r="C25" s="143" t="s">
        <v>697</v>
      </c>
      <c r="D25" s="143" t="s">
        <v>612</v>
      </c>
      <c r="E25" s="143" t="s">
        <v>671</v>
      </c>
      <c r="F25" s="143" t="s">
        <v>614</v>
      </c>
      <c r="G25" s="143" t="s">
        <v>615</v>
      </c>
      <c r="H25" s="143">
        <v>1</v>
      </c>
      <c r="I25" s="143" t="s">
        <v>616</v>
      </c>
      <c r="J25" s="143" t="s">
        <v>501</v>
      </c>
      <c r="K25" s="143" t="s">
        <v>502</v>
      </c>
      <c r="L25" s="143" t="s">
        <v>646</v>
      </c>
      <c r="M25" s="356">
        <v>44531</v>
      </c>
      <c r="N25" s="356">
        <v>44926</v>
      </c>
      <c r="O25" s="360">
        <f t="shared" si="0"/>
        <v>56.428571428571431</v>
      </c>
      <c r="P25" s="356">
        <v>44907</v>
      </c>
      <c r="Q25" s="356">
        <v>44907</v>
      </c>
      <c r="R25" s="361">
        <f t="shared" si="1"/>
        <v>-2.7142857142857153</v>
      </c>
      <c r="S25" s="362" t="str">
        <f ca="1">IF((N25-TODAY())/7&gt;=0,"En tiempo","Alerta")</f>
        <v>Alerta</v>
      </c>
      <c r="T25" s="366">
        <v>1</v>
      </c>
      <c r="U25" s="363">
        <f t="shared" si="3"/>
        <v>1</v>
      </c>
      <c r="V25" s="364" t="str">
        <f t="shared" si="4"/>
        <v>100%</v>
      </c>
      <c r="W25" s="365" t="str">
        <f>IF(Q25&lt;=N25,"Cumple","Incumple")</f>
        <v>Cumple</v>
      </c>
      <c r="X25" s="250" t="s">
        <v>698</v>
      </c>
      <c r="Y25" s="250" t="s">
        <v>699</v>
      </c>
      <c r="Z25" s="420">
        <f t="shared" si="5"/>
        <v>1</v>
      </c>
      <c r="AA25" s="143"/>
      <c r="AB25" s="143"/>
      <c r="AC25" s="420"/>
      <c r="AD25" s="251"/>
    </row>
    <row r="26" spans="1:30" s="359" customFormat="1" ht="256.5" x14ac:dyDescent="0.2">
      <c r="A26" s="143" t="s">
        <v>494</v>
      </c>
      <c r="B26" s="143" t="s">
        <v>202</v>
      </c>
      <c r="C26" s="143" t="s">
        <v>700</v>
      </c>
      <c r="D26" s="143" t="s">
        <v>612</v>
      </c>
      <c r="E26" s="143" t="s">
        <v>671</v>
      </c>
      <c r="F26" s="143" t="s">
        <v>614</v>
      </c>
      <c r="G26" s="143" t="s">
        <v>615</v>
      </c>
      <c r="H26" s="143">
        <v>1</v>
      </c>
      <c r="I26" s="143" t="s">
        <v>616</v>
      </c>
      <c r="J26" s="143" t="s">
        <v>501</v>
      </c>
      <c r="K26" s="143" t="s">
        <v>502</v>
      </c>
      <c r="L26" s="143" t="s">
        <v>662</v>
      </c>
      <c r="M26" s="356">
        <v>44531</v>
      </c>
      <c r="N26" s="356">
        <v>44926</v>
      </c>
      <c r="O26" s="360">
        <f t="shared" si="0"/>
        <v>56.428571428571431</v>
      </c>
      <c r="P26" s="356">
        <v>45538</v>
      </c>
      <c r="Q26" s="356">
        <f>P26</f>
        <v>45538</v>
      </c>
      <c r="R26" s="361">
        <f t="shared" si="1"/>
        <v>87.428571428571431</v>
      </c>
      <c r="S26" s="362" t="str">
        <f t="shared" ca="1" si="2"/>
        <v>Alerta</v>
      </c>
      <c r="T26" s="366">
        <v>0</v>
      </c>
      <c r="U26" s="363">
        <f t="shared" si="3"/>
        <v>0</v>
      </c>
      <c r="V26" s="364">
        <f t="shared" si="4"/>
        <v>0</v>
      </c>
      <c r="W26" s="365" t="str">
        <f t="shared" si="6"/>
        <v>Incumple</v>
      </c>
      <c r="X26" s="225" t="s">
        <v>670</v>
      </c>
      <c r="Y26" s="223" t="s">
        <v>701</v>
      </c>
      <c r="Z26" s="420">
        <f t="shared" si="5"/>
        <v>0</v>
      </c>
      <c r="AA26" s="143"/>
      <c r="AB26" s="143"/>
      <c r="AC26" s="420"/>
      <c r="AD26" s="251"/>
    </row>
    <row r="27" spans="1:30" s="359" customFormat="1" ht="270.75" x14ac:dyDescent="0.2">
      <c r="A27" s="143" t="s">
        <v>494</v>
      </c>
      <c r="B27" s="143" t="s">
        <v>202</v>
      </c>
      <c r="C27" s="143" t="s">
        <v>702</v>
      </c>
      <c r="D27" s="143" t="s">
        <v>612</v>
      </c>
      <c r="E27" s="143" t="s">
        <v>671</v>
      </c>
      <c r="F27" s="143" t="s">
        <v>614</v>
      </c>
      <c r="G27" s="143" t="s">
        <v>615</v>
      </c>
      <c r="H27" s="143">
        <v>1</v>
      </c>
      <c r="I27" s="143" t="s">
        <v>616</v>
      </c>
      <c r="J27" s="143" t="s">
        <v>501</v>
      </c>
      <c r="K27" s="143" t="s">
        <v>502</v>
      </c>
      <c r="L27" s="143" t="s">
        <v>646</v>
      </c>
      <c r="M27" s="356">
        <v>44531</v>
      </c>
      <c r="N27" s="356">
        <v>44926</v>
      </c>
      <c r="O27" s="360">
        <f t="shared" si="0"/>
        <v>56.428571428571431</v>
      </c>
      <c r="P27" s="356">
        <v>45538</v>
      </c>
      <c r="Q27" s="356">
        <f>P27</f>
        <v>45538</v>
      </c>
      <c r="R27" s="361">
        <f t="shared" si="1"/>
        <v>87.428571428571431</v>
      </c>
      <c r="S27" s="362" t="str">
        <f t="shared" ca="1" si="2"/>
        <v>Alerta</v>
      </c>
      <c r="T27" s="366">
        <v>0.3</v>
      </c>
      <c r="U27" s="363">
        <f t="shared" si="3"/>
        <v>0.3</v>
      </c>
      <c r="V27" s="364">
        <f t="shared" si="4"/>
        <v>0</v>
      </c>
      <c r="W27" s="365" t="str">
        <f t="shared" si="6"/>
        <v>Incumple</v>
      </c>
      <c r="X27" s="225" t="s">
        <v>703</v>
      </c>
      <c r="Y27" s="223" t="s">
        <v>704</v>
      </c>
      <c r="Z27" s="420">
        <f t="shared" si="5"/>
        <v>0.15</v>
      </c>
      <c r="AA27" s="143"/>
      <c r="AB27" s="143"/>
      <c r="AC27" s="420"/>
      <c r="AD27" s="251"/>
    </row>
    <row r="28" spans="1:30" s="359" customFormat="1" ht="199.5" x14ac:dyDescent="0.2">
      <c r="A28" s="143" t="s">
        <v>494</v>
      </c>
      <c r="B28" s="143" t="s">
        <v>202</v>
      </c>
      <c r="C28" s="143" t="s">
        <v>705</v>
      </c>
      <c r="D28" s="143" t="s">
        <v>706</v>
      </c>
      <c r="E28" s="143" t="s">
        <v>707</v>
      </c>
      <c r="F28" s="143" t="s">
        <v>614</v>
      </c>
      <c r="G28" s="143" t="s">
        <v>615</v>
      </c>
      <c r="H28" s="143">
        <v>1</v>
      </c>
      <c r="I28" s="143" t="s">
        <v>616</v>
      </c>
      <c r="J28" s="143" t="s">
        <v>501</v>
      </c>
      <c r="K28" s="143" t="s">
        <v>502</v>
      </c>
      <c r="L28" s="143" t="s">
        <v>646</v>
      </c>
      <c r="M28" s="356">
        <v>44531</v>
      </c>
      <c r="N28" s="356">
        <v>44926</v>
      </c>
      <c r="O28" s="360">
        <f t="shared" si="0"/>
        <v>56.428571428571431</v>
      </c>
      <c r="P28" s="356">
        <v>45105</v>
      </c>
      <c r="Q28" s="356">
        <v>45105</v>
      </c>
      <c r="R28" s="361">
        <f t="shared" si="1"/>
        <v>25.571428571428569</v>
      </c>
      <c r="S28" s="362" t="str">
        <f t="shared" ca="1" si="2"/>
        <v>Alerta</v>
      </c>
      <c r="T28" s="366">
        <v>1</v>
      </c>
      <c r="U28" s="363">
        <f t="shared" si="3"/>
        <v>1</v>
      </c>
      <c r="V28" s="364">
        <f t="shared" si="4"/>
        <v>0.54683544303797471</v>
      </c>
      <c r="W28" s="365" t="str">
        <f>IF(Q28&lt;=N28,"Cumple","Incumple")</f>
        <v>Incumple</v>
      </c>
      <c r="X28" s="250" t="s">
        <v>708</v>
      </c>
      <c r="Y28" s="250" t="s">
        <v>709</v>
      </c>
      <c r="Z28" s="420">
        <f t="shared" si="5"/>
        <v>0.77341772151898736</v>
      </c>
      <c r="AA28" s="143"/>
      <c r="AB28" s="143"/>
      <c r="AC28" s="420"/>
      <c r="AD28" s="251"/>
    </row>
    <row r="29" spans="1:30" s="359" customFormat="1" ht="114" x14ac:dyDescent="0.2">
      <c r="A29" s="143" t="s">
        <v>494</v>
      </c>
      <c r="B29" s="143" t="s">
        <v>202</v>
      </c>
      <c r="C29" s="143" t="s">
        <v>710</v>
      </c>
      <c r="D29" s="143" t="s">
        <v>612</v>
      </c>
      <c r="E29" s="143" t="s">
        <v>671</v>
      </c>
      <c r="F29" s="143" t="s">
        <v>614</v>
      </c>
      <c r="G29" s="143" t="s">
        <v>615</v>
      </c>
      <c r="H29" s="143">
        <v>1</v>
      </c>
      <c r="I29" s="143" t="s">
        <v>616</v>
      </c>
      <c r="J29" s="143" t="s">
        <v>501</v>
      </c>
      <c r="K29" s="143" t="s">
        <v>502</v>
      </c>
      <c r="L29" s="143" t="s">
        <v>646</v>
      </c>
      <c r="M29" s="356">
        <v>44531</v>
      </c>
      <c r="N29" s="356">
        <v>44926</v>
      </c>
      <c r="O29" s="360">
        <f t="shared" si="0"/>
        <v>56.428571428571431</v>
      </c>
      <c r="P29" s="356">
        <v>44733</v>
      </c>
      <c r="Q29" s="356">
        <v>44733</v>
      </c>
      <c r="R29" s="361">
        <f>(Q29-M29)/7-O29</f>
        <v>-27.571428571428573</v>
      </c>
      <c r="S29" s="362" t="str">
        <f t="shared" ca="1" si="2"/>
        <v>Alerta</v>
      </c>
      <c r="T29" s="366">
        <v>1</v>
      </c>
      <c r="U29" s="363">
        <f t="shared" si="3"/>
        <v>1</v>
      </c>
      <c r="V29" s="364" t="str">
        <f t="shared" si="4"/>
        <v>100%</v>
      </c>
      <c r="W29" s="365" t="str">
        <f>IF(Q29&lt;=N29,"Cumple","Incumple")</f>
        <v>Cumple</v>
      </c>
      <c r="X29" s="250" t="s">
        <v>698</v>
      </c>
      <c r="Y29" s="250" t="s">
        <v>699</v>
      </c>
      <c r="Z29" s="420">
        <f t="shared" si="5"/>
        <v>1</v>
      </c>
      <c r="AA29" s="143"/>
      <c r="AB29" s="143"/>
      <c r="AC29" s="420"/>
      <c r="AD29" s="251"/>
    </row>
    <row r="30" spans="1:30" ht="15" x14ac:dyDescent="0.2">
      <c r="A30" s="61"/>
      <c r="B30" s="61"/>
      <c r="C30" s="61"/>
      <c r="D30" s="61"/>
      <c r="E30" s="61"/>
      <c r="F30" s="61"/>
      <c r="G30" s="156" t="s">
        <v>314</v>
      </c>
      <c r="H30" s="187">
        <f>SUM(H7:H29)</f>
        <v>24</v>
      </c>
      <c r="R30" s="189" t="s">
        <v>195</v>
      </c>
      <c r="S30" s="189"/>
      <c r="T30" s="188">
        <f>SUM(T7:T29)</f>
        <v>15.900000000000004</v>
      </c>
      <c r="U30" s="111">
        <f>AVERAGE(U7:U29)</f>
        <v>0.67826086956521758</v>
      </c>
      <c r="V30" s="189" t="s">
        <v>44</v>
      </c>
      <c r="W30" s="190">
        <f>(COUNTIF(W7:W29,"Cumple"))/COUNTA(W7:W29)</f>
        <v>0.13043478260869565</v>
      </c>
      <c r="Z30" s="922" t="s">
        <v>195</v>
      </c>
      <c r="AA30" s="922"/>
      <c r="AB30" s="922"/>
      <c r="AC30" s="190"/>
      <c r="AD30" s="61"/>
    </row>
  </sheetData>
  <autoFilter ref="A6:AD6" xr:uid="{DFFF1EF4-F903-4DEF-9ED0-DBFDEAA65F50}"/>
  <mergeCells count="28">
    <mergeCell ref="O1:P2"/>
    <mergeCell ref="Q1:Y2"/>
    <mergeCell ref="W3:X3"/>
    <mergeCell ref="Z1:AD4"/>
    <mergeCell ref="A2:B2"/>
    <mergeCell ref="C2:F2"/>
    <mergeCell ref="G2:H2"/>
    <mergeCell ref="I2:N2"/>
    <mergeCell ref="Q3:V3"/>
    <mergeCell ref="A1:B1"/>
    <mergeCell ref="C1:N1"/>
    <mergeCell ref="A3:B3"/>
    <mergeCell ref="C3:F3"/>
    <mergeCell ref="G3:H3"/>
    <mergeCell ref="I3:N3"/>
    <mergeCell ref="O3:P3"/>
    <mergeCell ref="Z30:AB30"/>
    <mergeCell ref="A5:N5"/>
    <mergeCell ref="O5:Y5"/>
    <mergeCell ref="Z5:AD5"/>
    <mergeCell ref="T4:U4"/>
    <mergeCell ref="V4:Y4"/>
    <mergeCell ref="A4:B4"/>
    <mergeCell ref="C4:F4"/>
    <mergeCell ref="G4:H4"/>
    <mergeCell ref="I4:N4"/>
    <mergeCell ref="O4:P4"/>
    <mergeCell ref="Q4:S4"/>
  </mergeCells>
  <conditionalFormatting sqref="R7:R29">
    <cfRule type="cellIs" dxfId="384" priority="24" operator="greaterThan">
      <formula>0</formula>
    </cfRule>
    <cfRule type="cellIs" dxfId="383" priority="25" operator="lessThan">
      <formula>0</formula>
    </cfRule>
  </conditionalFormatting>
  <conditionalFormatting sqref="S7:S29">
    <cfRule type="containsText" dxfId="382" priority="22" operator="containsText" text="Alerta">
      <formula>NOT(ISERROR(SEARCH("Alerta",S7)))</formula>
    </cfRule>
    <cfRule type="containsText" dxfId="381" priority="23" operator="containsText" text="En tiempo">
      <formula>NOT(ISERROR(SEARCH("En tiempo",S7)))</formula>
    </cfRule>
  </conditionalFormatting>
  <conditionalFormatting sqref="U7:U30">
    <cfRule type="cellIs" dxfId="380" priority="1" stopIfTrue="1" operator="between">
      <formula>0.8</formula>
      <formula>1</formula>
    </cfRule>
    <cfRule type="cellIs" dxfId="379" priority="2" stopIfTrue="1" operator="between">
      <formula>0.5</formula>
      <formula>0.79</formula>
    </cfRule>
    <cfRule type="cellIs" dxfId="378" priority="3" stopIfTrue="1" operator="between">
      <formula>0.3</formula>
      <formula>0.49</formula>
    </cfRule>
    <cfRule type="cellIs" dxfId="377" priority="4" stopIfTrue="1" operator="between">
      <formula>0</formula>
      <formula>0.29</formula>
    </cfRule>
  </conditionalFormatting>
  <conditionalFormatting sqref="V7:V29">
    <cfRule type="cellIs" dxfId="376" priority="16" operator="between">
      <formula>0.19</formula>
      <formula>0</formula>
    </cfRule>
    <cfRule type="cellIs" dxfId="375" priority="17" operator="between">
      <formula>0.49</formula>
      <formula>0.2</formula>
    </cfRule>
    <cfRule type="cellIs" dxfId="374" priority="18" operator="between">
      <formula>0.89</formula>
      <formula>0.5</formula>
    </cfRule>
    <cfRule type="cellIs" dxfId="373" priority="19" operator="between">
      <formula>1</formula>
      <formula>0.9</formula>
    </cfRule>
  </conditionalFormatting>
  <conditionalFormatting sqref="W7:W29">
    <cfRule type="containsText" dxfId="372" priority="20" operator="containsText" text="Incumple">
      <formula>NOT(ISERROR(SEARCH("Incumple",W7)))</formula>
    </cfRule>
    <cfRule type="containsText" dxfId="371" priority="21" operator="containsText" text="Cumple">
      <formula>NOT(ISERROR(SEARCH("Cumple",W7)))</formula>
    </cfRule>
  </conditionalFormatting>
  <conditionalFormatting sqref="W30">
    <cfRule type="cellIs" dxfId="370" priority="8" operator="between">
      <formula>0.19</formula>
      <formula>0</formula>
    </cfRule>
    <cfRule type="cellIs" dxfId="369" priority="9" operator="between">
      <formula>0.49</formula>
      <formula>0.2</formula>
    </cfRule>
    <cfRule type="cellIs" dxfId="368" priority="10" operator="between">
      <formula>0.89</formula>
      <formula>0.5</formula>
    </cfRule>
    <cfRule type="cellIs" dxfId="367" priority="11" operator="between">
      <formula>1</formula>
      <formula>0.9</formula>
    </cfRule>
  </conditionalFormatting>
  <conditionalFormatting sqref="AC30">
    <cfRule type="cellIs" dxfId="366" priority="5" operator="between">
      <formula>0.3</formula>
      <formula>0</formula>
    </cfRule>
    <cfRule type="cellIs" dxfId="365" priority="6" operator="between">
      <formula>0.6999</formula>
      <formula>0.3111</formula>
    </cfRule>
    <cfRule type="cellIs" dxfId="364" priority="7" operator="between">
      <formula>1</formula>
      <formula>0.7</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B1B8E-C10B-42A1-A076-3C0B21313F36}">
  <sheetPr>
    <tabColor theme="0"/>
  </sheetPr>
  <dimension ref="A1:AD29"/>
  <sheetViews>
    <sheetView topLeftCell="I1" zoomScale="80" zoomScaleNormal="80" workbookViewId="0">
      <selection activeCell="X13" sqref="X13"/>
    </sheetView>
  </sheetViews>
  <sheetFormatPr baseColWidth="10" defaultColWidth="18.85546875" defaultRowHeight="12.75" x14ac:dyDescent="0.2"/>
  <cols>
    <col min="1" max="2" width="10.5703125" customWidth="1"/>
    <col min="3" max="3" width="121.5703125" customWidth="1"/>
    <col min="4" max="4" width="41.5703125" customWidth="1"/>
    <col min="5" max="5" width="31.5703125" customWidth="1"/>
    <col min="6" max="6" width="55.28515625" customWidth="1"/>
    <col min="7" max="7" width="22.140625" customWidth="1"/>
    <col min="8" max="8" width="17.140625" customWidth="1"/>
    <col min="9" max="9" width="25.7109375" customWidth="1"/>
    <col min="10" max="10" width="18.85546875" customWidth="1"/>
    <col min="11" max="11" width="14.28515625" customWidth="1"/>
    <col min="12" max="12" width="20" customWidth="1"/>
    <col min="13" max="14" width="13.28515625" customWidth="1"/>
    <col min="15" max="15" width="13.42578125" customWidth="1"/>
    <col min="16" max="16" width="13.85546875" customWidth="1"/>
    <col min="17" max="17" width="15.140625" customWidth="1"/>
    <col min="18" max="18" width="12.28515625" customWidth="1"/>
    <col min="19" max="19" width="10.28515625" customWidth="1"/>
    <col min="20" max="20" width="11.7109375" customWidth="1"/>
    <col min="21" max="21" width="13.28515625" customWidth="1"/>
    <col min="22" max="22" width="13" customWidth="1"/>
    <col min="23" max="23" width="14.5703125" customWidth="1"/>
    <col min="24" max="24" width="66.28515625" customWidth="1"/>
    <col min="25" max="25" width="75.7109375" customWidth="1"/>
    <col min="26" max="26" width="11.5703125" bestFit="1" customWidth="1"/>
    <col min="27" max="28" width="9.140625"/>
    <col min="29" max="29" width="18.85546875" customWidth="1"/>
    <col min="30" max="30" width="26.85546875" customWidth="1"/>
  </cols>
  <sheetData>
    <row r="1" spans="1:30" ht="57" customHeight="1" thickBot="1" x14ac:dyDescent="0.25">
      <c r="A1" s="926" t="s">
        <v>0</v>
      </c>
      <c r="B1" s="926"/>
      <c r="C1" s="930" t="s">
        <v>1</v>
      </c>
      <c r="D1" s="930"/>
      <c r="E1" s="930"/>
      <c r="F1" s="930"/>
      <c r="G1" s="930"/>
      <c r="H1" s="930"/>
      <c r="I1" s="930"/>
      <c r="J1" s="930"/>
      <c r="K1" s="930"/>
      <c r="L1" s="930"/>
      <c r="M1" s="930"/>
      <c r="N1" s="930"/>
      <c r="O1" s="930"/>
      <c r="P1" s="930"/>
      <c r="Q1" s="930" t="s">
        <v>2</v>
      </c>
      <c r="R1" s="930"/>
      <c r="S1" s="930"/>
      <c r="T1" s="930"/>
      <c r="U1" s="930"/>
      <c r="V1" s="930"/>
      <c r="W1" s="930"/>
      <c r="X1" s="930"/>
      <c r="Y1" s="930"/>
      <c r="Z1" s="930" t="s">
        <v>2</v>
      </c>
      <c r="AA1" s="930"/>
      <c r="AB1" s="930"/>
      <c r="AC1" s="930"/>
      <c r="AD1" s="930"/>
    </row>
    <row r="2" spans="1:30" ht="22.5" customHeight="1" thickBot="1" x14ac:dyDescent="0.25">
      <c r="A2" s="926" t="s">
        <v>197</v>
      </c>
      <c r="B2" s="926"/>
      <c r="C2" s="926" t="s">
        <v>4</v>
      </c>
      <c r="D2" s="931"/>
      <c r="E2" s="931"/>
      <c r="F2" s="931"/>
      <c r="G2" s="926" t="s">
        <v>5</v>
      </c>
      <c r="H2" s="926"/>
      <c r="I2" s="926" t="s">
        <v>6</v>
      </c>
      <c r="J2" s="926"/>
      <c r="K2" s="926"/>
      <c r="L2" s="926"/>
      <c r="M2" s="926"/>
      <c r="N2" s="926"/>
      <c r="O2" s="930"/>
      <c r="P2" s="930"/>
      <c r="Q2" s="930"/>
      <c r="R2" s="930"/>
      <c r="S2" s="930"/>
      <c r="T2" s="930"/>
      <c r="U2" s="930"/>
      <c r="V2" s="930"/>
      <c r="W2" s="930"/>
      <c r="X2" s="930"/>
      <c r="Y2" s="930"/>
      <c r="Z2" s="930"/>
      <c r="AA2" s="930"/>
      <c r="AB2" s="930"/>
      <c r="AC2" s="930"/>
      <c r="AD2" s="930"/>
    </row>
    <row r="3" spans="1:30" ht="36.75" customHeight="1" x14ac:dyDescent="0.2">
      <c r="A3" s="927" t="s">
        <v>7</v>
      </c>
      <c r="B3" s="927"/>
      <c r="C3" s="928" t="s">
        <v>711</v>
      </c>
      <c r="D3" s="928"/>
      <c r="E3" s="928"/>
      <c r="F3" s="928"/>
      <c r="G3" s="927" t="s">
        <v>9</v>
      </c>
      <c r="H3" s="927"/>
      <c r="I3" s="929">
        <v>43952</v>
      </c>
      <c r="J3" s="926"/>
      <c r="K3" s="926"/>
      <c r="L3" s="926"/>
      <c r="M3" s="926"/>
      <c r="N3" s="926"/>
      <c r="O3" s="927" t="s">
        <v>10</v>
      </c>
      <c r="P3" s="927"/>
      <c r="Q3" s="929">
        <v>45688</v>
      </c>
      <c r="R3" s="929"/>
      <c r="S3" s="929"/>
      <c r="T3" s="929"/>
      <c r="U3" s="929"/>
      <c r="V3" s="929"/>
      <c r="W3" s="927" t="s">
        <v>11</v>
      </c>
      <c r="X3" s="927"/>
      <c r="Y3" s="195" t="s">
        <v>608</v>
      </c>
      <c r="Z3" s="930"/>
      <c r="AA3" s="930"/>
      <c r="AB3" s="930"/>
      <c r="AC3" s="930"/>
      <c r="AD3" s="930"/>
    </row>
    <row r="4" spans="1:30" ht="33" customHeight="1" x14ac:dyDescent="0.2">
      <c r="A4" s="927" t="s">
        <v>13</v>
      </c>
      <c r="B4" s="927"/>
      <c r="C4" s="928" t="s">
        <v>712</v>
      </c>
      <c r="D4" s="928"/>
      <c r="E4" s="928"/>
      <c r="F4" s="928"/>
      <c r="G4" s="927" t="s">
        <v>15</v>
      </c>
      <c r="H4" s="927"/>
      <c r="I4" s="929">
        <v>44742</v>
      </c>
      <c r="J4" s="929"/>
      <c r="K4" s="929"/>
      <c r="L4" s="929"/>
      <c r="M4" s="929"/>
      <c r="N4" s="929"/>
      <c r="O4" s="927" t="s">
        <v>16</v>
      </c>
      <c r="P4" s="927"/>
      <c r="Q4" s="926" t="s">
        <v>491</v>
      </c>
      <c r="R4" s="926"/>
      <c r="S4" s="926"/>
      <c r="T4" s="925" t="s">
        <v>18</v>
      </c>
      <c r="U4" s="925"/>
      <c r="V4" s="926"/>
      <c r="W4" s="926"/>
      <c r="X4" s="926"/>
      <c r="Y4" s="926"/>
      <c r="Z4" s="930"/>
      <c r="AA4" s="930"/>
      <c r="AB4" s="930"/>
      <c r="AC4" s="930"/>
      <c r="AD4" s="930"/>
    </row>
    <row r="5" spans="1:30" ht="21" thickBot="1" x14ac:dyDescent="0.25">
      <c r="A5" s="196" t="s">
        <v>19</v>
      </c>
      <c r="B5" s="196"/>
      <c r="C5" s="196"/>
      <c r="D5" s="196"/>
      <c r="E5" s="196"/>
      <c r="F5" s="196"/>
      <c r="G5" s="196"/>
      <c r="H5" s="196"/>
      <c r="I5" s="196"/>
      <c r="J5" s="196"/>
      <c r="K5" s="196"/>
      <c r="L5" s="196"/>
      <c r="M5" s="196"/>
      <c r="N5" s="196"/>
      <c r="O5" s="197" t="s">
        <v>20</v>
      </c>
      <c r="P5" s="197"/>
      <c r="Q5" s="197"/>
      <c r="R5" s="197"/>
      <c r="S5" s="197"/>
      <c r="T5" s="197"/>
      <c r="U5" s="197"/>
      <c r="V5" s="197"/>
      <c r="W5" s="197"/>
      <c r="X5" s="197"/>
      <c r="Y5" s="197"/>
      <c r="Z5" s="198" t="s">
        <v>21</v>
      </c>
      <c r="AA5" s="198"/>
      <c r="AB5" s="198"/>
      <c r="AC5" s="198"/>
      <c r="AD5" s="198"/>
    </row>
    <row r="6" spans="1:30" ht="111" thickBot="1" x14ac:dyDescent="0.25">
      <c r="A6" s="199" t="s">
        <v>22</v>
      </c>
      <c r="B6" s="199" t="s">
        <v>23</v>
      </c>
      <c r="C6" s="199" t="s">
        <v>493</v>
      </c>
      <c r="D6" s="199" t="s">
        <v>25</v>
      </c>
      <c r="E6" s="199" t="s">
        <v>26</v>
      </c>
      <c r="F6" s="199" t="s">
        <v>27</v>
      </c>
      <c r="G6" s="199" t="s">
        <v>28</v>
      </c>
      <c r="H6" s="199" t="s">
        <v>29</v>
      </c>
      <c r="I6" s="199" t="s">
        <v>30</v>
      </c>
      <c r="J6" s="199" t="s">
        <v>31</v>
      </c>
      <c r="K6" s="199" t="s">
        <v>32</v>
      </c>
      <c r="L6" s="199" t="s">
        <v>33</v>
      </c>
      <c r="M6" s="199" t="s">
        <v>34</v>
      </c>
      <c r="N6" s="199" t="s">
        <v>35</v>
      </c>
      <c r="O6" s="200" t="s">
        <v>36</v>
      </c>
      <c r="P6" s="200" t="s">
        <v>37</v>
      </c>
      <c r="Q6" s="200" t="s">
        <v>38</v>
      </c>
      <c r="R6" s="200" t="s">
        <v>39</v>
      </c>
      <c r="S6" s="200" t="s">
        <v>40</v>
      </c>
      <c r="T6" s="200" t="s">
        <v>41</v>
      </c>
      <c r="U6" s="200" t="s">
        <v>42</v>
      </c>
      <c r="V6" s="200" t="s">
        <v>43</v>
      </c>
      <c r="W6" s="200" t="s">
        <v>44</v>
      </c>
      <c r="X6" s="200" t="s">
        <v>45</v>
      </c>
      <c r="Y6" s="200" t="s">
        <v>46</v>
      </c>
      <c r="Z6" s="201" t="s">
        <v>47</v>
      </c>
      <c r="AA6" s="201" t="s">
        <v>713</v>
      </c>
      <c r="AB6" s="201" t="s">
        <v>49</v>
      </c>
      <c r="AC6" s="201" t="s">
        <v>50</v>
      </c>
      <c r="AD6" s="201" t="s">
        <v>51</v>
      </c>
    </row>
    <row r="7" spans="1:30" s="226" customFormat="1" ht="268.5" customHeight="1" x14ac:dyDescent="0.2">
      <c r="A7" s="143" t="s">
        <v>494</v>
      </c>
      <c r="B7" s="143" t="s">
        <v>52</v>
      </c>
      <c r="C7" s="143" t="s">
        <v>714</v>
      </c>
      <c r="D7" s="143" t="s">
        <v>715</v>
      </c>
      <c r="E7" s="143" t="s">
        <v>716</v>
      </c>
      <c r="F7" s="143" t="s">
        <v>717</v>
      </c>
      <c r="G7" s="143" t="s">
        <v>718</v>
      </c>
      <c r="H7" s="143">
        <v>2</v>
      </c>
      <c r="I7" s="143" t="s">
        <v>719</v>
      </c>
      <c r="J7" s="143" t="s">
        <v>501</v>
      </c>
      <c r="K7" s="139" t="s">
        <v>502</v>
      </c>
      <c r="L7" s="139" t="s">
        <v>720</v>
      </c>
      <c r="M7" s="140">
        <v>43952</v>
      </c>
      <c r="N7" s="140">
        <v>45911</v>
      </c>
      <c r="O7" s="745">
        <f>(+N7-M7)/7</f>
        <v>279.85714285714283</v>
      </c>
      <c r="P7" s="736">
        <v>45688</v>
      </c>
      <c r="Q7" s="736">
        <f>P7</f>
        <v>45688</v>
      </c>
      <c r="R7" s="414">
        <f>(Q7-M7)/7-O7</f>
        <v>-31.857142857142833</v>
      </c>
      <c r="S7" s="415" t="str">
        <f ca="1">IF((N7-TODAY())/7&gt;=0,"En tiempo","Alerta")</f>
        <v>En tiempo</v>
      </c>
      <c r="T7" s="746">
        <v>0.6</v>
      </c>
      <c r="U7" s="363">
        <f>IF(T7/H7=1,1,+T7/H7)</f>
        <v>0.3</v>
      </c>
      <c r="V7" s="416" t="str">
        <f>IF(R7&gt;O7,0%,IF(R7&lt;=0,"100%",1-(R7/O7)))</f>
        <v>100%</v>
      </c>
      <c r="W7" s="417" t="str">
        <f>IF(P7&lt;=N7,"Cumple","Incumple")</f>
        <v>Cumple</v>
      </c>
      <c r="X7" s="740" t="s">
        <v>3129</v>
      </c>
      <c r="Y7" s="740" t="s">
        <v>3130</v>
      </c>
      <c r="Z7" s="386">
        <f>(U7+V7)/2</f>
        <v>0.65</v>
      </c>
      <c r="AA7" s="418"/>
      <c r="AB7" s="418"/>
      <c r="AC7" s="386">
        <f>AVERAGE(Z7:AB7)</f>
        <v>0.65</v>
      </c>
      <c r="AD7" s="418"/>
    </row>
    <row r="8" spans="1:30" s="226" customFormat="1" ht="119.25" customHeight="1" x14ac:dyDescent="0.2">
      <c r="A8" s="143" t="s">
        <v>494</v>
      </c>
      <c r="B8" s="143" t="s">
        <v>52</v>
      </c>
      <c r="C8" s="143" t="s">
        <v>721</v>
      </c>
      <c r="D8" s="143" t="s">
        <v>722</v>
      </c>
      <c r="E8" s="143" t="s">
        <v>723</v>
      </c>
      <c r="F8" s="143" t="s">
        <v>724</v>
      </c>
      <c r="G8" s="143" t="s">
        <v>725</v>
      </c>
      <c r="H8" s="143">
        <v>2</v>
      </c>
      <c r="I8" s="143" t="s">
        <v>719</v>
      </c>
      <c r="J8" s="143" t="s">
        <v>501</v>
      </c>
      <c r="K8" s="139" t="s">
        <v>502</v>
      </c>
      <c r="L8" s="139" t="s">
        <v>726</v>
      </c>
      <c r="M8" s="140">
        <v>44470</v>
      </c>
      <c r="N8" s="140">
        <v>44742</v>
      </c>
      <c r="O8" s="745">
        <f>(+N8-M8)/7</f>
        <v>38.857142857142854</v>
      </c>
      <c r="P8" s="736">
        <v>44754</v>
      </c>
      <c r="Q8" s="736">
        <v>44754</v>
      </c>
      <c r="R8" s="414">
        <f t="shared" ref="R8:R25" si="0">(Q8-M8)/7-O8</f>
        <v>1.7142857142857153</v>
      </c>
      <c r="S8" s="415" t="str">
        <f t="shared" ref="S8:S28" ca="1" si="1">IF((N8-TODAY())/7&gt;=0,"En tiempo","Alerta")</f>
        <v>Alerta</v>
      </c>
      <c r="T8" s="746">
        <v>2</v>
      </c>
      <c r="U8" s="363">
        <f t="shared" ref="U8:U28" si="2">IF(T8/H8=1,1,+T8/H8)</f>
        <v>1</v>
      </c>
      <c r="V8" s="416">
        <f t="shared" ref="V8:V28" si="3">IF(R8&gt;O8,0%,IF(R8&lt;=0,"100%",1-(R8/O8)))</f>
        <v>0.95588235294117641</v>
      </c>
      <c r="W8" s="417" t="str">
        <f>IF(Q8&lt;=N8,"Cumple","Incumple")</f>
        <v>Incumple</v>
      </c>
      <c r="X8" s="740" t="s">
        <v>727</v>
      </c>
      <c r="Y8" s="740" t="s">
        <v>728</v>
      </c>
      <c r="Z8" s="386">
        <f t="shared" ref="Z8:Z28" si="4">(U8+V8)/2</f>
        <v>0.9779411764705882</v>
      </c>
      <c r="AA8" s="418"/>
      <c r="AB8" s="418"/>
      <c r="AC8" s="386">
        <f>AVERAGE(Z8:AB8)</f>
        <v>0.9779411764705882</v>
      </c>
      <c r="AD8" s="419"/>
    </row>
    <row r="9" spans="1:30" s="226" customFormat="1" ht="270.75" customHeight="1" x14ac:dyDescent="0.2">
      <c r="A9" s="143" t="s">
        <v>494</v>
      </c>
      <c r="B9" s="143" t="s">
        <v>52</v>
      </c>
      <c r="C9" s="143" t="s">
        <v>729</v>
      </c>
      <c r="D9" s="143" t="s">
        <v>730</v>
      </c>
      <c r="E9" s="143" t="s">
        <v>731</v>
      </c>
      <c r="F9" s="143" t="s">
        <v>732</v>
      </c>
      <c r="G9" s="143" t="s">
        <v>733</v>
      </c>
      <c r="H9" s="143">
        <v>1</v>
      </c>
      <c r="I9" s="143" t="s">
        <v>719</v>
      </c>
      <c r="J9" s="143" t="s">
        <v>501</v>
      </c>
      <c r="K9" s="139" t="s">
        <v>502</v>
      </c>
      <c r="L9" s="139" t="s">
        <v>734</v>
      </c>
      <c r="M9" s="140">
        <v>44471</v>
      </c>
      <c r="N9" s="140">
        <v>44743</v>
      </c>
      <c r="O9" s="745">
        <f>(+N9-M9)/7</f>
        <v>38.857142857142854</v>
      </c>
      <c r="P9" s="736">
        <v>45688</v>
      </c>
      <c r="Q9" s="736">
        <f>P9</f>
        <v>45688</v>
      </c>
      <c r="R9" s="414">
        <f t="shared" si="0"/>
        <v>135</v>
      </c>
      <c r="S9" s="415" t="str">
        <f t="shared" ca="1" si="1"/>
        <v>Alerta</v>
      </c>
      <c r="T9" s="746">
        <v>0.3</v>
      </c>
      <c r="U9" s="363">
        <f t="shared" si="2"/>
        <v>0.3</v>
      </c>
      <c r="V9" s="416">
        <f t="shared" si="3"/>
        <v>0</v>
      </c>
      <c r="W9" s="417" t="str">
        <f t="shared" ref="W9:W28" si="5">IF(P9&lt;=N9,"Cumple","Incumple")</f>
        <v>Incumple</v>
      </c>
      <c r="X9" s="740" t="s">
        <v>3131</v>
      </c>
      <c r="Y9" s="319" t="s">
        <v>3132</v>
      </c>
      <c r="Z9" s="386">
        <f t="shared" si="4"/>
        <v>0.15</v>
      </c>
      <c r="AA9" s="418"/>
      <c r="AB9" s="418"/>
      <c r="AC9" s="386">
        <f t="shared" ref="AC9:AC28" si="6">AVERAGE(Z9:AB9)</f>
        <v>0.15</v>
      </c>
      <c r="AD9" s="419"/>
    </row>
    <row r="10" spans="1:30" s="226" customFormat="1" ht="409.5" customHeight="1" x14ac:dyDescent="0.2">
      <c r="A10" s="143" t="s">
        <v>494</v>
      </c>
      <c r="B10" s="143" t="s">
        <v>52</v>
      </c>
      <c r="C10" s="143" t="s">
        <v>735</v>
      </c>
      <c r="D10" s="143" t="s">
        <v>736</v>
      </c>
      <c r="E10" s="143" t="s">
        <v>737</v>
      </c>
      <c r="F10" s="143" t="s">
        <v>738</v>
      </c>
      <c r="G10" s="143" t="s">
        <v>739</v>
      </c>
      <c r="H10" s="143">
        <v>12</v>
      </c>
      <c r="I10" s="143" t="s">
        <v>719</v>
      </c>
      <c r="J10" s="143" t="s">
        <v>501</v>
      </c>
      <c r="K10" s="139" t="s">
        <v>502</v>
      </c>
      <c r="L10" s="139" t="s">
        <v>740</v>
      </c>
      <c r="M10" s="140">
        <v>43952</v>
      </c>
      <c r="N10" s="140">
        <v>45607</v>
      </c>
      <c r="O10" s="745">
        <f>(+N10-M10)/7</f>
        <v>236.42857142857142</v>
      </c>
      <c r="P10" s="736">
        <v>45688</v>
      </c>
      <c r="Q10" s="736">
        <f>P10</f>
        <v>45688</v>
      </c>
      <c r="R10" s="414">
        <f t="shared" si="0"/>
        <v>11.571428571428584</v>
      </c>
      <c r="S10" s="415" t="str">
        <f t="shared" ca="1" si="1"/>
        <v>Alerta</v>
      </c>
      <c r="T10" s="746">
        <v>10</v>
      </c>
      <c r="U10" s="363">
        <f t="shared" si="2"/>
        <v>0.83333333333333337</v>
      </c>
      <c r="V10" s="416">
        <f t="shared" si="3"/>
        <v>0.95105740181268872</v>
      </c>
      <c r="W10" s="417" t="str">
        <f t="shared" si="5"/>
        <v>Incumple</v>
      </c>
      <c r="X10" s="740" t="s">
        <v>3133</v>
      </c>
      <c r="Y10" s="319" t="s">
        <v>3134</v>
      </c>
      <c r="Z10" s="386">
        <f t="shared" si="4"/>
        <v>0.89219536757301099</v>
      </c>
      <c r="AA10" s="418"/>
      <c r="AB10" s="418"/>
      <c r="AC10" s="386">
        <f t="shared" si="6"/>
        <v>0.89219536757301099</v>
      </c>
      <c r="AD10" s="419"/>
    </row>
    <row r="11" spans="1:30" s="226" customFormat="1" ht="233.25" customHeight="1" x14ac:dyDescent="0.2">
      <c r="A11" s="143" t="s">
        <v>494</v>
      </c>
      <c r="B11" s="143" t="s">
        <v>52</v>
      </c>
      <c r="C11" s="143" t="s">
        <v>741</v>
      </c>
      <c r="D11" s="143" t="s">
        <v>742</v>
      </c>
      <c r="E11" s="143" t="s">
        <v>743</v>
      </c>
      <c r="F11" s="143" t="s">
        <v>744</v>
      </c>
      <c r="G11" s="143" t="s">
        <v>745</v>
      </c>
      <c r="H11" s="143">
        <v>2</v>
      </c>
      <c r="I11" s="143" t="s">
        <v>719</v>
      </c>
      <c r="J11" s="143" t="s">
        <v>501</v>
      </c>
      <c r="K11" s="139" t="s">
        <v>502</v>
      </c>
      <c r="L11" s="139" t="s">
        <v>726</v>
      </c>
      <c r="M11" s="140">
        <v>43952</v>
      </c>
      <c r="N11" s="140">
        <v>44745</v>
      </c>
      <c r="O11" s="745">
        <f t="shared" ref="O11:O28" si="7">(+N11-M11)/7</f>
        <v>113.28571428571429</v>
      </c>
      <c r="P11" s="736">
        <v>45282</v>
      </c>
      <c r="Q11" s="736">
        <v>45282</v>
      </c>
      <c r="R11" s="414">
        <f t="shared" si="0"/>
        <v>76.714285714285708</v>
      </c>
      <c r="S11" s="415" t="str">
        <f t="shared" ca="1" si="1"/>
        <v>Alerta</v>
      </c>
      <c r="T11" s="746">
        <v>2</v>
      </c>
      <c r="U11" s="363">
        <f t="shared" si="2"/>
        <v>1</v>
      </c>
      <c r="V11" s="416">
        <f t="shared" si="3"/>
        <v>0.32282471626733933</v>
      </c>
      <c r="W11" s="417" t="str">
        <f t="shared" si="5"/>
        <v>Incumple</v>
      </c>
      <c r="X11" s="737" t="s">
        <v>746</v>
      </c>
      <c r="Y11" s="319" t="s">
        <v>747</v>
      </c>
      <c r="Z11" s="386">
        <f t="shared" si="4"/>
        <v>0.66141235813366972</v>
      </c>
      <c r="AA11" s="418"/>
      <c r="AB11" s="418"/>
      <c r="AC11" s="386">
        <f t="shared" si="6"/>
        <v>0.66141235813366972</v>
      </c>
      <c r="AD11" s="419"/>
    </row>
    <row r="12" spans="1:30" s="226" customFormat="1" ht="78" customHeight="1" x14ac:dyDescent="0.2">
      <c r="A12" s="143" t="s">
        <v>494</v>
      </c>
      <c r="B12" s="143" t="s">
        <v>52</v>
      </c>
      <c r="C12" s="143" t="s">
        <v>748</v>
      </c>
      <c r="D12" s="143" t="s">
        <v>749</v>
      </c>
      <c r="E12" s="143" t="s">
        <v>743</v>
      </c>
      <c r="F12" s="143" t="s">
        <v>750</v>
      </c>
      <c r="G12" s="143" t="s">
        <v>745</v>
      </c>
      <c r="H12" s="143">
        <v>1</v>
      </c>
      <c r="I12" s="143" t="s">
        <v>719</v>
      </c>
      <c r="J12" s="143" t="s">
        <v>501</v>
      </c>
      <c r="K12" s="139" t="s">
        <v>502</v>
      </c>
      <c r="L12" s="139" t="s">
        <v>726</v>
      </c>
      <c r="M12" s="140">
        <v>44470</v>
      </c>
      <c r="N12" s="140">
        <v>44746</v>
      </c>
      <c r="O12" s="745">
        <f t="shared" si="7"/>
        <v>39.428571428571431</v>
      </c>
      <c r="P12" s="736">
        <v>45282</v>
      </c>
      <c r="Q12" s="736">
        <v>45282</v>
      </c>
      <c r="R12" s="414">
        <f t="shared" si="0"/>
        <v>76.571428571428569</v>
      </c>
      <c r="S12" s="415" t="str">
        <f t="shared" ca="1" si="1"/>
        <v>Alerta</v>
      </c>
      <c r="T12" s="746">
        <v>1</v>
      </c>
      <c r="U12" s="363">
        <f t="shared" si="2"/>
        <v>1</v>
      </c>
      <c r="V12" s="416">
        <f t="shared" si="3"/>
        <v>0</v>
      </c>
      <c r="W12" s="742" t="str">
        <f t="shared" si="5"/>
        <v>Incumple</v>
      </c>
      <c r="X12" s="744" t="s">
        <v>751</v>
      </c>
      <c r="Y12" s="743" t="s">
        <v>747</v>
      </c>
      <c r="Z12" s="386">
        <f t="shared" si="4"/>
        <v>0.5</v>
      </c>
      <c r="AA12" s="418"/>
      <c r="AB12" s="418"/>
      <c r="AC12" s="386">
        <f t="shared" si="6"/>
        <v>0.5</v>
      </c>
      <c r="AD12" s="419"/>
    </row>
    <row r="13" spans="1:30" s="226" customFormat="1" ht="409.5" customHeight="1" x14ac:dyDescent="0.2">
      <c r="A13" s="143" t="s">
        <v>494</v>
      </c>
      <c r="B13" s="143" t="s">
        <v>52</v>
      </c>
      <c r="C13" s="143" t="s">
        <v>752</v>
      </c>
      <c r="D13" s="143" t="s">
        <v>753</v>
      </c>
      <c r="E13" s="143" t="s">
        <v>754</v>
      </c>
      <c r="F13" s="143" t="s">
        <v>755</v>
      </c>
      <c r="G13" s="143" t="s">
        <v>756</v>
      </c>
      <c r="H13" s="143">
        <v>1</v>
      </c>
      <c r="I13" s="143" t="s">
        <v>719</v>
      </c>
      <c r="J13" s="143" t="s">
        <v>501</v>
      </c>
      <c r="K13" s="139" t="s">
        <v>502</v>
      </c>
      <c r="L13" s="139" t="s">
        <v>757</v>
      </c>
      <c r="M13" s="140">
        <v>43952</v>
      </c>
      <c r="N13" s="140">
        <v>45637</v>
      </c>
      <c r="O13" s="745">
        <f t="shared" si="7"/>
        <v>240.71428571428572</v>
      </c>
      <c r="P13" s="736">
        <v>45688</v>
      </c>
      <c r="Q13" s="736">
        <v>45533</v>
      </c>
      <c r="R13" s="414">
        <f t="shared" si="0"/>
        <v>-14.857142857142861</v>
      </c>
      <c r="S13" s="415" t="str">
        <f t="shared" ca="1" si="1"/>
        <v>Alerta</v>
      </c>
      <c r="T13" s="746">
        <v>1</v>
      </c>
      <c r="U13" s="363">
        <f t="shared" si="2"/>
        <v>1</v>
      </c>
      <c r="V13" s="416" t="str">
        <f t="shared" si="3"/>
        <v>100%</v>
      </c>
      <c r="W13" s="417" t="str">
        <f>IF(Q13&lt;=N13,"Cumple","Incumple")</f>
        <v>Cumple</v>
      </c>
      <c r="X13" s="650" t="s">
        <v>3135</v>
      </c>
      <c r="Y13" s="319" t="s">
        <v>3136</v>
      </c>
      <c r="Z13" s="386">
        <f t="shared" si="4"/>
        <v>1</v>
      </c>
      <c r="AA13" s="418"/>
      <c r="AB13" s="418"/>
      <c r="AC13" s="386">
        <f t="shared" si="6"/>
        <v>1</v>
      </c>
      <c r="AD13" s="419"/>
    </row>
    <row r="14" spans="1:30" s="226" customFormat="1" ht="245.25" customHeight="1" x14ac:dyDescent="0.2">
      <c r="A14" s="143" t="s">
        <v>494</v>
      </c>
      <c r="B14" s="143" t="s">
        <v>52</v>
      </c>
      <c r="C14" s="143" t="s">
        <v>758</v>
      </c>
      <c r="D14" s="143" t="s">
        <v>759</v>
      </c>
      <c r="E14" s="143" t="s">
        <v>760</v>
      </c>
      <c r="F14" s="143" t="s">
        <v>761</v>
      </c>
      <c r="G14" s="143" t="s">
        <v>762</v>
      </c>
      <c r="H14" s="143">
        <v>1</v>
      </c>
      <c r="I14" s="143" t="s">
        <v>719</v>
      </c>
      <c r="J14" s="143" t="s">
        <v>501</v>
      </c>
      <c r="K14" s="139" t="s">
        <v>502</v>
      </c>
      <c r="L14" s="139" t="s">
        <v>763</v>
      </c>
      <c r="M14" s="140">
        <v>44470</v>
      </c>
      <c r="N14" s="140">
        <v>44748</v>
      </c>
      <c r="O14" s="745">
        <f t="shared" si="7"/>
        <v>39.714285714285715</v>
      </c>
      <c r="P14" s="736">
        <v>45105</v>
      </c>
      <c r="Q14" s="736">
        <v>45105</v>
      </c>
      <c r="R14" s="414">
        <f t="shared" si="0"/>
        <v>50.999999999999993</v>
      </c>
      <c r="S14" s="415" t="str">
        <f t="shared" ca="1" si="1"/>
        <v>Alerta</v>
      </c>
      <c r="T14" s="746">
        <v>1</v>
      </c>
      <c r="U14" s="363">
        <f t="shared" si="2"/>
        <v>1</v>
      </c>
      <c r="V14" s="416">
        <f t="shared" si="3"/>
        <v>0</v>
      </c>
      <c r="W14" s="417" t="str">
        <f>IF(Q14&lt;=N14,"Cumple","Incumple")</f>
        <v>Incumple</v>
      </c>
      <c r="X14" s="740" t="s">
        <v>764</v>
      </c>
      <c r="Y14" s="740" t="s">
        <v>765</v>
      </c>
      <c r="Z14" s="386">
        <f t="shared" si="4"/>
        <v>0.5</v>
      </c>
      <c r="AA14" s="418"/>
      <c r="AB14" s="418"/>
      <c r="AC14" s="386">
        <f t="shared" si="6"/>
        <v>0.5</v>
      </c>
      <c r="AD14" s="419"/>
    </row>
    <row r="15" spans="1:30" s="226" customFormat="1" ht="140.25" x14ac:dyDescent="0.2">
      <c r="A15" s="143" t="s">
        <v>494</v>
      </c>
      <c r="B15" s="143" t="s">
        <v>52</v>
      </c>
      <c r="C15" s="143" t="s">
        <v>766</v>
      </c>
      <c r="D15" s="143" t="s">
        <v>767</v>
      </c>
      <c r="E15" s="143" t="s">
        <v>768</v>
      </c>
      <c r="F15" s="143" t="s">
        <v>769</v>
      </c>
      <c r="G15" s="143" t="s">
        <v>770</v>
      </c>
      <c r="H15" s="143">
        <v>2</v>
      </c>
      <c r="I15" s="143" t="s">
        <v>719</v>
      </c>
      <c r="J15" s="143" t="s">
        <v>501</v>
      </c>
      <c r="K15" s="139" t="s">
        <v>502</v>
      </c>
      <c r="L15" s="139" t="s">
        <v>771</v>
      </c>
      <c r="M15" s="140">
        <v>43952</v>
      </c>
      <c r="N15" s="140">
        <v>44749</v>
      </c>
      <c r="O15" s="745">
        <f t="shared" si="7"/>
        <v>113.85714285714286</v>
      </c>
      <c r="P15" s="736">
        <v>44754</v>
      </c>
      <c r="Q15" s="736">
        <v>44754</v>
      </c>
      <c r="R15" s="414">
        <f t="shared" si="0"/>
        <v>0.7142857142857082</v>
      </c>
      <c r="S15" s="415" t="str">
        <f t="shared" ca="1" si="1"/>
        <v>Alerta</v>
      </c>
      <c r="T15" s="746">
        <v>2</v>
      </c>
      <c r="U15" s="363">
        <f t="shared" si="2"/>
        <v>1</v>
      </c>
      <c r="V15" s="416">
        <f t="shared" si="3"/>
        <v>0.99372647427854455</v>
      </c>
      <c r="W15" s="417" t="str">
        <f>IF(Q15&lt;=N15,"Cumple","Incumple")</f>
        <v>Incumple</v>
      </c>
      <c r="X15" s="740" t="s">
        <v>772</v>
      </c>
      <c r="Y15" s="740" t="s">
        <v>773</v>
      </c>
      <c r="Z15" s="386">
        <f t="shared" si="4"/>
        <v>0.99686323713927227</v>
      </c>
      <c r="AA15" s="418"/>
      <c r="AB15" s="418"/>
      <c r="AC15" s="386">
        <f t="shared" si="6"/>
        <v>0.99686323713927227</v>
      </c>
      <c r="AD15" s="419"/>
    </row>
    <row r="16" spans="1:30" s="226" customFormat="1" ht="101.25" customHeight="1" x14ac:dyDescent="0.2">
      <c r="A16" s="143" t="s">
        <v>494</v>
      </c>
      <c r="B16" s="143" t="s">
        <v>52</v>
      </c>
      <c r="C16" s="143" t="s">
        <v>774</v>
      </c>
      <c r="D16" s="143" t="s">
        <v>775</v>
      </c>
      <c r="E16" s="143" t="s">
        <v>776</v>
      </c>
      <c r="F16" s="143" t="s">
        <v>777</v>
      </c>
      <c r="G16" s="143" t="s">
        <v>778</v>
      </c>
      <c r="H16" s="143">
        <v>1</v>
      </c>
      <c r="I16" s="143" t="s">
        <v>719</v>
      </c>
      <c r="J16" s="143" t="s">
        <v>501</v>
      </c>
      <c r="K16" s="139" t="s">
        <v>502</v>
      </c>
      <c r="L16" s="139" t="s">
        <v>779</v>
      </c>
      <c r="M16" s="140">
        <v>44470</v>
      </c>
      <c r="N16" s="140">
        <v>44750</v>
      </c>
      <c r="O16" s="745">
        <f t="shared" si="7"/>
        <v>40</v>
      </c>
      <c r="P16" s="736">
        <v>44754</v>
      </c>
      <c r="Q16" s="736">
        <v>44742</v>
      </c>
      <c r="R16" s="414">
        <f t="shared" si="0"/>
        <v>-1.1428571428571459</v>
      </c>
      <c r="S16" s="415" t="str">
        <f t="shared" ca="1" si="1"/>
        <v>Alerta</v>
      </c>
      <c r="T16" s="746">
        <v>1</v>
      </c>
      <c r="U16" s="363">
        <f t="shared" si="2"/>
        <v>1</v>
      </c>
      <c r="V16" s="416" t="str">
        <f t="shared" si="3"/>
        <v>100%</v>
      </c>
      <c r="W16" s="417" t="str">
        <f>IF(Q16&lt;=N16,"Cumple","Incumple")</f>
        <v>Cumple</v>
      </c>
      <c r="X16" s="740" t="s">
        <v>162</v>
      </c>
      <c r="Y16" s="740" t="s">
        <v>780</v>
      </c>
      <c r="Z16" s="386">
        <f t="shared" si="4"/>
        <v>1</v>
      </c>
      <c r="AA16" s="418"/>
      <c r="AB16" s="418"/>
      <c r="AC16" s="386">
        <f t="shared" si="6"/>
        <v>1</v>
      </c>
      <c r="AD16" s="419"/>
    </row>
    <row r="17" spans="1:30" s="226" customFormat="1" ht="408" customHeight="1" x14ac:dyDescent="0.2">
      <c r="A17" s="143" t="s">
        <v>494</v>
      </c>
      <c r="B17" s="143" t="s">
        <v>52</v>
      </c>
      <c r="C17" s="143" t="s">
        <v>781</v>
      </c>
      <c r="D17" s="143" t="s">
        <v>782</v>
      </c>
      <c r="E17" s="143" t="s">
        <v>783</v>
      </c>
      <c r="F17" s="143" t="s">
        <v>784</v>
      </c>
      <c r="G17" s="143" t="s">
        <v>785</v>
      </c>
      <c r="H17" s="143">
        <v>1</v>
      </c>
      <c r="I17" s="143" t="s">
        <v>719</v>
      </c>
      <c r="J17" s="143" t="s">
        <v>501</v>
      </c>
      <c r="K17" s="139" t="s">
        <v>502</v>
      </c>
      <c r="L17" s="139" t="s">
        <v>786</v>
      </c>
      <c r="M17" s="140">
        <v>43952</v>
      </c>
      <c r="N17" s="140">
        <v>45670</v>
      </c>
      <c r="O17" s="745">
        <f t="shared" si="7"/>
        <v>245.42857142857142</v>
      </c>
      <c r="P17" s="736">
        <v>45688</v>
      </c>
      <c r="Q17" s="736">
        <f>P17</f>
        <v>45688</v>
      </c>
      <c r="R17" s="414">
        <f t="shared" si="0"/>
        <v>2.5714285714285836</v>
      </c>
      <c r="S17" s="415" t="str">
        <f t="shared" ca="1" si="1"/>
        <v>Alerta</v>
      </c>
      <c r="T17" s="746">
        <v>0.9</v>
      </c>
      <c r="U17" s="363">
        <f t="shared" si="2"/>
        <v>0.9</v>
      </c>
      <c r="V17" s="416">
        <f t="shared" si="3"/>
        <v>0.98952270081490101</v>
      </c>
      <c r="W17" s="417" t="str">
        <f t="shared" si="5"/>
        <v>Incumple</v>
      </c>
      <c r="X17" s="650" t="s">
        <v>3137</v>
      </c>
      <c r="Y17" s="319" t="s">
        <v>3138</v>
      </c>
      <c r="Z17" s="386">
        <f t="shared" si="4"/>
        <v>0.94476135040745057</v>
      </c>
      <c r="AA17" s="418"/>
      <c r="AB17" s="418"/>
      <c r="AC17" s="386">
        <f t="shared" si="6"/>
        <v>0.94476135040745057</v>
      </c>
      <c r="AD17" s="419"/>
    </row>
    <row r="18" spans="1:30" s="226" customFormat="1" ht="178.5" x14ac:dyDescent="0.2">
      <c r="A18" s="143" t="s">
        <v>494</v>
      </c>
      <c r="B18" s="143" t="s">
        <v>52</v>
      </c>
      <c r="C18" s="143" t="s">
        <v>787</v>
      </c>
      <c r="D18" s="143" t="s">
        <v>788</v>
      </c>
      <c r="E18" s="143" t="s">
        <v>789</v>
      </c>
      <c r="F18" s="143" t="s">
        <v>790</v>
      </c>
      <c r="G18" s="143" t="s">
        <v>791</v>
      </c>
      <c r="H18" s="143">
        <v>1</v>
      </c>
      <c r="I18" s="143" t="s">
        <v>719</v>
      </c>
      <c r="J18" s="143" t="s">
        <v>501</v>
      </c>
      <c r="K18" s="139" t="s">
        <v>502</v>
      </c>
      <c r="L18" s="139" t="s">
        <v>792</v>
      </c>
      <c r="M18" s="140">
        <v>44470</v>
      </c>
      <c r="N18" s="140">
        <v>44752</v>
      </c>
      <c r="O18" s="745">
        <f t="shared" si="7"/>
        <v>40.285714285714285</v>
      </c>
      <c r="P18" s="736">
        <v>44754</v>
      </c>
      <c r="Q18" s="736">
        <v>44742</v>
      </c>
      <c r="R18" s="414">
        <f t="shared" si="0"/>
        <v>-1.4285714285714306</v>
      </c>
      <c r="S18" s="415" t="str">
        <f t="shared" ca="1" si="1"/>
        <v>Alerta</v>
      </c>
      <c r="T18" s="746">
        <v>1</v>
      </c>
      <c r="U18" s="363">
        <f t="shared" si="2"/>
        <v>1</v>
      </c>
      <c r="V18" s="416" t="str">
        <f t="shared" si="3"/>
        <v>100%</v>
      </c>
      <c r="W18" s="417" t="str">
        <f t="shared" ref="W18:W23" si="8">IF(Q18&lt;=N18,"Cumple","Incumple")</f>
        <v>Cumple</v>
      </c>
      <c r="X18" s="738" t="s">
        <v>793</v>
      </c>
      <c r="Y18" s="319" t="s">
        <v>794</v>
      </c>
      <c r="Z18" s="386">
        <f t="shared" si="4"/>
        <v>1</v>
      </c>
      <c r="AA18" s="418"/>
      <c r="AB18" s="418"/>
      <c r="AC18" s="386">
        <f t="shared" si="6"/>
        <v>1</v>
      </c>
      <c r="AD18" s="419"/>
    </row>
    <row r="19" spans="1:30" s="226" customFormat="1" ht="57" x14ac:dyDescent="0.2">
      <c r="A19" s="143" t="s">
        <v>494</v>
      </c>
      <c r="B19" s="143" t="s">
        <v>52</v>
      </c>
      <c r="C19" s="143" t="s">
        <v>795</v>
      </c>
      <c r="D19" s="143" t="s">
        <v>796</v>
      </c>
      <c r="E19" s="143" t="s">
        <v>789</v>
      </c>
      <c r="F19" s="143" t="s">
        <v>797</v>
      </c>
      <c r="G19" s="143" t="s">
        <v>791</v>
      </c>
      <c r="H19" s="143">
        <v>1</v>
      </c>
      <c r="I19" s="143" t="s">
        <v>719</v>
      </c>
      <c r="J19" s="143" t="s">
        <v>501</v>
      </c>
      <c r="K19" s="139" t="s">
        <v>502</v>
      </c>
      <c r="L19" s="139" t="s">
        <v>792</v>
      </c>
      <c r="M19" s="140">
        <v>44470</v>
      </c>
      <c r="N19" s="140">
        <v>44753</v>
      </c>
      <c r="O19" s="745">
        <f t="shared" si="7"/>
        <v>40.428571428571431</v>
      </c>
      <c r="P19" s="736">
        <v>44754</v>
      </c>
      <c r="Q19" s="736">
        <v>44742</v>
      </c>
      <c r="R19" s="414">
        <f t="shared" si="0"/>
        <v>-1.5714285714285765</v>
      </c>
      <c r="S19" s="415" t="str">
        <f t="shared" ca="1" si="1"/>
        <v>Alerta</v>
      </c>
      <c r="T19" s="746">
        <v>1</v>
      </c>
      <c r="U19" s="363">
        <f t="shared" si="2"/>
        <v>1</v>
      </c>
      <c r="V19" s="416" t="str">
        <f t="shared" si="3"/>
        <v>100%</v>
      </c>
      <c r="W19" s="417" t="str">
        <f t="shared" si="8"/>
        <v>Cumple</v>
      </c>
      <c r="X19" s="740" t="s">
        <v>162</v>
      </c>
      <c r="Y19" s="740" t="s">
        <v>794</v>
      </c>
      <c r="Z19" s="386">
        <f t="shared" si="4"/>
        <v>1</v>
      </c>
      <c r="AA19" s="418"/>
      <c r="AB19" s="418"/>
      <c r="AC19" s="386">
        <f t="shared" si="6"/>
        <v>1</v>
      </c>
      <c r="AD19" s="419"/>
    </row>
    <row r="20" spans="1:30" s="226" customFormat="1" ht="127.5" x14ac:dyDescent="0.2">
      <c r="A20" s="143" t="s">
        <v>494</v>
      </c>
      <c r="B20" s="143" t="s">
        <v>52</v>
      </c>
      <c r="C20" s="143" t="s">
        <v>798</v>
      </c>
      <c r="D20" s="143" t="s">
        <v>799</v>
      </c>
      <c r="E20" s="143" t="s">
        <v>800</v>
      </c>
      <c r="F20" s="143" t="s">
        <v>801</v>
      </c>
      <c r="G20" s="143" t="s">
        <v>802</v>
      </c>
      <c r="H20" s="143">
        <v>1</v>
      </c>
      <c r="I20" s="143" t="s">
        <v>719</v>
      </c>
      <c r="J20" s="143" t="s">
        <v>501</v>
      </c>
      <c r="K20" s="139" t="s">
        <v>502</v>
      </c>
      <c r="L20" s="139" t="s">
        <v>803</v>
      </c>
      <c r="M20" s="140">
        <v>43952</v>
      </c>
      <c r="N20" s="140">
        <v>44754</v>
      </c>
      <c r="O20" s="745">
        <f t="shared" si="7"/>
        <v>114.57142857142857</v>
      </c>
      <c r="P20" s="736">
        <v>44754</v>
      </c>
      <c r="Q20" s="736">
        <v>44754</v>
      </c>
      <c r="R20" s="414">
        <f t="shared" si="0"/>
        <v>0</v>
      </c>
      <c r="S20" s="415" t="str">
        <f t="shared" ca="1" si="1"/>
        <v>Alerta</v>
      </c>
      <c r="T20" s="746">
        <v>1</v>
      </c>
      <c r="U20" s="363">
        <f t="shared" si="2"/>
        <v>1</v>
      </c>
      <c r="V20" s="416" t="str">
        <f t="shared" si="3"/>
        <v>100%</v>
      </c>
      <c r="W20" s="417" t="str">
        <f t="shared" si="8"/>
        <v>Cumple</v>
      </c>
      <c r="X20" s="738" t="s">
        <v>804</v>
      </c>
      <c r="Y20" s="319" t="s">
        <v>805</v>
      </c>
      <c r="Z20" s="386">
        <f t="shared" si="4"/>
        <v>1</v>
      </c>
      <c r="AA20" s="418"/>
      <c r="AB20" s="418"/>
      <c r="AC20" s="386">
        <f t="shared" si="6"/>
        <v>1</v>
      </c>
      <c r="AD20" s="419"/>
    </row>
    <row r="21" spans="1:30" s="226" customFormat="1" ht="168.75" customHeight="1" x14ac:dyDescent="0.2">
      <c r="A21" s="143" t="s">
        <v>494</v>
      </c>
      <c r="B21" s="143" t="s">
        <v>52</v>
      </c>
      <c r="C21" s="143" t="s">
        <v>806</v>
      </c>
      <c r="D21" s="143" t="s">
        <v>807</v>
      </c>
      <c r="E21" s="143" t="s">
        <v>800</v>
      </c>
      <c r="F21" s="143" t="s">
        <v>808</v>
      </c>
      <c r="G21" s="143" t="s">
        <v>802</v>
      </c>
      <c r="H21" s="143">
        <v>1</v>
      </c>
      <c r="I21" s="143" t="s">
        <v>719</v>
      </c>
      <c r="J21" s="143" t="s">
        <v>501</v>
      </c>
      <c r="K21" s="139" t="s">
        <v>502</v>
      </c>
      <c r="L21" s="139" t="s">
        <v>803</v>
      </c>
      <c r="M21" s="140">
        <v>43952</v>
      </c>
      <c r="N21" s="140">
        <v>44755</v>
      </c>
      <c r="O21" s="745">
        <f t="shared" si="7"/>
        <v>114.71428571428571</v>
      </c>
      <c r="P21" s="736">
        <v>44754</v>
      </c>
      <c r="Q21" s="736">
        <v>44754</v>
      </c>
      <c r="R21" s="414">
        <f t="shared" si="0"/>
        <v>-0.1428571428571388</v>
      </c>
      <c r="S21" s="415" t="str">
        <f t="shared" ca="1" si="1"/>
        <v>Alerta</v>
      </c>
      <c r="T21" s="746">
        <v>1</v>
      </c>
      <c r="U21" s="363">
        <f t="shared" si="2"/>
        <v>1</v>
      </c>
      <c r="V21" s="416" t="str">
        <f t="shared" si="3"/>
        <v>100%</v>
      </c>
      <c r="W21" s="417" t="str">
        <f t="shared" si="8"/>
        <v>Cumple</v>
      </c>
      <c r="X21" s="738" t="s">
        <v>809</v>
      </c>
      <c r="Y21" s="319" t="s">
        <v>805</v>
      </c>
      <c r="Z21" s="386">
        <f t="shared" si="4"/>
        <v>1</v>
      </c>
      <c r="AA21" s="418"/>
      <c r="AB21" s="418"/>
      <c r="AC21" s="386">
        <f t="shared" si="6"/>
        <v>1</v>
      </c>
      <c r="AD21" s="419"/>
    </row>
    <row r="22" spans="1:30" s="226" customFormat="1" ht="384.75" x14ac:dyDescent="0.2">
      <c r="A22" s="143" t="s">
        <v>494</v>
      </c>
      <c r="B22" s="143" t="s">
        <v>52</v>
      </c>
      <c r="C22" s="143" t="s">
        <v>810</v>
      </c>
      <c r="D22" s="143" t="s">
        <v>811</v>
      </c>
      <c r="E22" s="143" t="s">
        <v>812</v>
      </c>
      <c r="F22" s="143" t="s">
        <v>813</v>
      </c>
      <c r="G22" s="143" t="s">
        <v>814</v>
      </c>
      <c r="H22" s="143">
        <v>1</v>
      </c>
      <c r="I22" s="143" t="s">
        <v>719</v>
      </c>
      <c r="J22" s="143" t="s">
        <v>501</v>
      </c>
      <c r="K22" s="139" t="s">
        <v>502</v>
      </c>
      <c r="L22" s="139" t="s">
        <v>815</v>
      </c>
      <c r="M22" s="140">
        <v>44470</v>
      </c>
      <c r="N22" s="140">
        <v>44742</v>
      </c>
      <c r="O22" s="745">
        <f t="shared" si="7"/>
        <v>38.857142857142854</v>
      </c>
      <c r="P22" s="736">
        <v>44754</v>
      </c>
      <c r="Q22" s="736">
        <v>44754</v>
      </c>
      <c r="R22" s="414">
        <f t="shared" si="0"/>
        <v>1.7142857142857153</v>
      </c>
      <c r="S22" s="415" t="str">
        <f t="shared" ca="1" si="1"/>
        <v>Alerta</v>
      </c>
      <c r="T22" s="746">
        <v>1</v>
      </c>
      <c r="U22" s="363">
        <f t="shared" si="2"/>
        <v>1</v>
      </c>
      <c r="V22" s="416">
        <f t="shared" si="3"/>
        <v>0.95588235294117641</v>
      </c>
      <c r="W22" s="417" t="str">
        <f t="shared" si="8"/>
        <v>Incumple</v>
      </c>
      <c r="X22" s="741" t="s">
        <v>816</v>
      </c>
      <c r="Y22" s="740" t="s">
        <v>817</v>
      </c>
      <c r="Z22" s="386">
        <f t="shared" si="4"/>
        <v>0.9779411764705882</v>
      </c>
      <c r="AA22" s="418"/>
      <c r="AB22" s="418"/>
      <c r="AC22" s="386">
        <f t="shared" si="6"/>
        <v>0.9779411764705882</v>
      </c>
      <c r="AD22" s="419"/>
    </row>
    <row r="23" spans="1:30" s="226" customFormat="1" ht="98.25" customHeight="1" x14ac:dyDescent="0.2">
      <c r="A23" s="143" t="s">
        <v>494</v>
      </c>
      <c r="B23" s="143" t="s">
        <v>52</v>
      </c>
      <c r="C23" s="143" t="s">
        <v>818</v>
      </c>
      <c r="D23" s="143" t="s">
        <v>819</v>
      </c>
      <c r="E23" s="143" t="s">
        <v>820</v>
      </c>
      <c r="F23" s="143" t="s">
        <v>821</v>
      </c>
      <c r="G23" s="143" t="s">
        <v>822</v>
      </c>
      <c r="H23" s="143">
        <v>1</v>
      </c>
      <c r="I23" s="143" t="s">
        <v>719</v>
      </c>
      <c r="J23" s="143" t="s">
        <v>501</v>
      </c>
      <c r="K23" s="139" t="s">
        <v>502</v>
      </c>
      <c r="L23" s="139" t="s">
        <v>823</v>
      </c>
      <c r="M23" s="140">
        <v>43952</v>
      </c>
      <c r="N23" s="140">
        <v>44742</v>
      </c>
      <c r="O23" s="745">
        <f t="shared" si="7"/>
        <v>112.85714285714286</v>
      </c>
      <c r="P23" s="736">
        <v>44754</v>
      </c>
      <c r="Q23" s="736">
        <v>44742</v>
      </c>
      <c r="R23" s="414">
        <f t="shared" si="0"/>
        <v>0</v>
      </c>
      <c r="S23" s="415" t="str">
        <f t="shared" ca="1" si="1"/>
        <v>Alerta</v>
      </c>
      <c r="T23" s="746">
        <v>1</v>
      </c>
      <c r="U23" s="363">
        <f t="shared" si="2"/>
        <v>1</v>
      </c>
      <c r="V23" s="416" t="str">
        <f t="shared" si="3"/>
        <v>100%</v>
      </c>
      <c r="W23" s="417" t="str">
        <f t="shared" si="8"/>
        <v>Cumple</v>
      </c>
      <c r="X23" s="739" t="s">
        <v>824</v>
      </c>
      <c r="Y23" s="319" t="s">
        <v>825</v>
      </c>
      <c r="Z23" s="386">
        <f t="shared" si="4"/>
        <v>1</v>
      </c>
      <c r="AA23" s="418"/>
      <c r="AB23" s="418"/>
      <c r="AC23" s="386">
        <f t="shared" si="6"/>
        <v>1</v>
      </c>
      <c r="AD23" s="419"/>
    </row>
    <row r="24" spans="1:30" s="226" customFormat="1" ht="85.5" x14ac:dyDescent="0.2">
      <c r="A24" s="143" t="s">
        <v>494</v>
      </c>
      <c r="B24" s="143" t="s">
        <v>52</v>
      </c>
      <c r="C24" s="143" t="s">
        <v>826</v>
      </c>
      <c r="D24" s="143" t="s">
        <v>827</v>
      </c>
      <c r="E24" s="143" t="s">
        <v>828</v>
      </c>
      <c r="F24" s="143" t="s">
        <v>829</v>
      </c>
      <c r="G24" s="143" t="s">
        <v>830</v>
      </c>
      <c r="H24" s="143">
        <v>0</v>
      </c>
      <c r="I24" s="143" t="s">
        <v>719</v>
      </c>
      <c r="J24" s="143" t="s">
        <v>501</v>
      </c>
      <c r="K24" s="139" t="s">
        <v>502</v>
      </c>
      <c r="L24" s="139" t="s">
        <v>831</v>
      </c>
      <c r="M24" s="140">
        <v>43952</v>
      </c>
      <c r="N24" s="140">
        <v>44743</v>
      </c>
      <c r="O24" s="745">
        <f t="shared" si="7"/>
        <v>113</v>
      </c>
      <c r="P24" s="736">
        <v>44754</v>
      </c>
      <c r="Q24" s="736">
        <f>P24</f>
        <v>44754</v>
      </c>
      <c r="R24" s="414"/>
      <c r="S24" s="415"/>
      <c r="T24" s="746"/>
      <c r="U24" s="363"/>
      <c r="V24" s="416"/>
      <c r="W24" s="417"/>
      <c r="X24" s="740"/>
      <c r="Y24" s="740" t="s">
        <v>832</v>
      </c>
      <c r="Z24" s="386">
        <f t="shared" si="4"/>
        <v>0</v>
      </c>
      <c r="AA24" s="418"/>
      <c r="AB24" s="418"/>
      <c r="AC24" s="386"/>
      <c r="AD24" s="419"/>
    </row>
    <row r="25" spans="1:30" s="226" customFormat="1" ht="213.75" x14ac:dyDescent="0.2">
      <c r="A25" s="143" t="s">
        <v>494</v>
      </c>
      <c r="B25" s="143" t="s">
        <v>52</v>
      </c>
      <c r="C25" s="143" t="s">
        <v>833</v>
      </c>
      <c r="D25" s="143" t="s">
        <v>834</v>
      </c>
      <c r="E25" s="143" t="s">
        <v>835</v>
      </c>
      <c r="F25" s="143" t="s">
        <v>836</v>
      </c>
      <c r="G25" s="143" t="s">
        <v>837</v>
      </c>
      <c r="H25" s="143">
        <v>1</v>
      </c>
      <c r="I25" s="143" t="s">
        <v>719</v>
      </c>
      <c r="J25" s="143" t="s">
        <v>501</v>
      </c>
      <c r="K25" s="139" t="s">
        <v>502</v>
      </c>
      <c r="L25" s="139" t="s">
        <v>838</v>
      </c>
      <c r="M25" s="140">
        <v>43952</v>
      </c>
      <c r="N25" s="140">
        <v>44744</v>
      </c>
      <c r="O25" s="745">
        <f t="shared" si="7"/>
        <v>113.14285714285714</v>
      </c>
      <c r="P25" s="736">
        <v>44754</v>
      </c>
      <c r="Q25" s="736">
        <v>44754</v>
      </c>
      <c r="R25" s="414">
        <f t="shared" si="0"/>
        <v>1.4285714285714306</v>
      </c>
      <c r="S25" s="415" t="str">
        <f t="shared" ca="1" si="1"/>
        <v>Alerta</v>
      </c>
      <c r="T25" s="746">
        <v>1</v>
      </c>
      <c r="U25" s="363">
        <f t="shared" si="2"/>
        <v>1</v>
      </c>
      <c r="V25" s="416">
        <f t="shared" si="3"/>
        <v>0.98737373737373735</v>
      </c>
      <c r="W25" s="417" t="str">
        <f>IF(Q25&lt;=N25,"Cumple","Incumple")</f>
        <v>Incumple</v>
      </c>
      <c r="X25" s="740" t="s">
        <v>162</v>
      </c>
      <c r="Y25" s="740" t="s">
        <v>839</v>
      </c>
      <c r="Z25" s="386">
        <f t="shared" si="4"/>
        <v>0.99368686868686873</v>
      </c>
      <c r="AA25" s="418"/>
      <c r="AB25" s="418"/>
      <c r="AC25" s="386">
        <f t="shared" si="6"/>
        <v>0.99368686868686873</v>
      </c>
      <c r="AD25" s="419"/>
    </row>
    <row r="26" spans="1:30" s="226" customFormat="1" ht="249.75" x14ac:dyDescent="0.2">
      <c r="A26" s="143" t="s">
        <v>494</v>
      </c>
      <c r="B26" s="143" t="s">
        <v>52</v>
      </c>
      <c r="C26" s="143" t="s">
        <v>840</v>
      </c>
      <c r="D26" s="143" t="s">
        <v>841</v>
      </c>
      <c r="E26" s="143" t="s">
        <v>842</v>
      </c>
      <c r="F26" s="143" t="s">
        <v>843</v>
      </c>
      <c r="G26" s="143" t="s">
        <v>844</v>
      </c>
      <c r="H26" s="143">
        <v>0</v>
      </c>
      <c r="I26" s="143" t="s">
        <v>719</v>
      </c>
      <c r="J26" s="143" t="s">
        <v>501</v>
      </c>
      <c r="K26" s="139" t="s">
        <v>502</v>
      </c>
      <c r="L26" s="139" t="s">
        <v>845</v>
      </c>
      <c r="M26" s="140">
        <v>43952</v>
      </c>
      <c r="N26" s="140">
        <v>44745</v>
      </c>
      <c r="O26" s="745">
        <f t="shared" si="7"/>
        <v>113.28571428571429</v>
      </c>
      <c r="P26" s="736">
        <v>44754</v>
      </c>
      <c r="Q26" s="736">
        <f>P26</f>
        <v>44754</v>
      </c>
      <c r="R26" s="414"/>
      <c r="S26" s="415"/>
      <c r="T26" s="746"/>
      <c r="U26" s="363"/>
      <c r="V26" s="416"/>
      <c r="W26" s="417"/>
      <c r="X26" s="740" t="s">
        <v>162</v>
      </c>
      <c r="Y26" s="740" t="s">
        <v>832</v>
      </c>
      <c r="Z26" s="386">
        <f t="shared" si="4"/>
        <v>0</v>
      </c>
      <c r="AA26" s="418"/>
      <c r="AB26" s="418"/>
      <c r="AC26" s="386"/>
      <c r="AD26" s="419"/>
    </row>
    <row r="27" spans="1:30" s="226" customFormat="1" ht="57" x14ac:dyDescent="0.2">
      <c r="A27" s="143" t="s">
        <v>494</v>
      </c>
      <c r="B27" s="143" t="s">
        <v>52</v>
      </c>
      <c r="C27" s="143" t="s">
        <v>846</v>
      </c>
      <c r="D27" s="143" t="s">
        <v>847</v>
      </c>
      <c r="E27" s="143" t="s">
        <v>848</v>
      </c>
      <c r="F27" s="143" t="s">
        <v>849</v>
      </c>
      <c r="G27" s="143" t="s">
        <v>850</v>
      </c>
      <c r="H27" s="143">
        <v>0</v>
      </c>
      <c r="I27" s="143" t="s">
        <v>719</v>
      </c>
      <c r="J27" s="143" t="s">
        <v>501</v>
      </c>
      <c r="K27" s="139" t="s">
        <v>502</v>
      </c>
      <c r="L27" s="139" t="s">
        <v>851</v>
      </c>
      <c r="M27" s="140">
        <v>44470</v>
      </c>
      <c r="N27" s="140">
        <v>44746</v>
      </c>
      <c r="O27" s="745">
        <f t="shared" si="7"/>
        <v>39.428571428571431</v>
      </c>
      <c r="P27" s="736">
        <v>44754</v>
      </c>
      <c r="Q27" s="736">
        <f>P27</f>
        <v>44754</v>
      </c>
      <c r="R27" s="414"/>
      <c r="S27" s="415"/>
      <c r="T27" s="746"/>
      <c r="U27" s="363"/>
      <c r="V27" s="416"/>
      <c r="W27" s="417"/>
      <c r="X27" s="740" t="s">
        <v>162</v>
      </c>
      <c r="Y27" s="740" t="s">
        <v>832</v>
      </c>
      <c r="Z27" s="386">
        <f t="shared" si="4"/>
        <v>0</v>
      </c>
      <c r="AA27" s="418"/>
      <c r="AB27" s="418"/>
      <c r="AC27" s="386"/>
      <c r="AD27" s="419"/>
    </row>
    <row r="28" spans="1:30" s="226" customFormat="1" ht="403.5" customHeight="1" x14ac:dyDescent="0.2">
      <c r="A28" s="143" t="s">
        <v>494</v>
      </c>
      <c r="B28" s="143" t="s">
        <v>52</v>
      </c>
      <c r="C28" s="143" t="s">
        <v>852</v>
      </c>
      <c r="D28" s="143" t="s">
        <v>853</v>
      </c>
      <c r="E28" s="143" t="s">
        <v>854</v>
      </c>
      <c r="F28" s="143" t="s">
        <v>855</v>
      </c>
      <c r="G28" s="143" t="s">
        <v>856</v>
      </c>
      <c r="H28" s="143">
        <v>1</v>
      </c>
      <c r="I28" s="143" t="s">
        <v>719</v>
      </c>
      <c r="J28" s="143" t="s">
        <v>501</v>
      </c>
      <c r="K28" s="139" t="s">
        <v>502</v>
      </c>
      <c r="L28" s="139" t="s">
        <v>845</v>
      </c>
      <c r="M28" s="140">
        <v>44470</v>
      </c>
      <c r="N28" s="140">
        <v>45911</v>
      </c>
      <c r="O28" s="745">
        <f t="shared" si="7"/>
        <v>205.85714285714286</v>
      </c>
      <c r="P28" s="736">
        <v>45688</v>
      </c>
      <c r="Q28" s="736">
        <f>P28</f>
        <v>45688</v>
      </c>
      <c r="R28" s="414">
        <f>(Q28-M28)/7-O28</f>
        <v>-31.857142857142861</v>
      </c>
      <c r="S28" s="415" t="str">
        <f t="shared" ca="1" si="1"/>
        <v>En tiempo</v>
      </c>
      <c r="T28" s="746">
        <v>0</v>
      </c>
      <c r="U28" s="363">
        <f t="shared" si="2"/>
        <v>0</v>
      </c>
      <c r="V28" s="416" t="str">
        <f t="shared" si="3"/>
        <v>100%</v>
      </c>
      <c r="W28" s="417" t="str">
        <f t="shared" si="5"/>
        <v>Cumple</v>
      </c>
      <c r="X28" s="740" t="s">
        <v>3139</v>
      </c>
      <c r="Y28" s="740" t="s">
        <v>3140</v>
      </c>
      <c r="Z28" s="386">
        <f t="shared" si="4"/>
        <v>0.5</v>
      </c>
      <c r="AA28" s="418"/>
      <c r="AB28" s="418"/>
      <c r="AC28" s="386">
        <f t="shared" si="6"/>
        <v>0.5</v>
      </c>
      <c r="AD28" s="419"/>
    </row>
    <row r="29" spans="1:30" ht="18.75" thickBot="1" x14ac:dyDescent="0.25">
      <c r="A29" s="68"/>
      <c r="B29" s="68"/>
      <c r="C29" s="68"/>
      <c r="D29" s="68"/>
      <c r="E29" s="68"/>
      <c r="F29" s="68"/>
      <c r="G29" s="203" t="s">
        <v>314</v>
      </c>
      <c r="H29" s="191">
        <f>SUM(H7:H28)</f>
        <v>34</v>
      </c>
      <c r="I29" s="71"/>
      <c r="J29" s="71"/>
      <c r="K29" s="71"/>
      <c r="L29" s="71"/>
      <c r="M29" s="71"/>
      <c r="N29" s="71"/>
      <c r="O29" s="72"/>
      <c r="P29" s="72"/>
      <c r="Q29" s="72"/>
      <c r="R29" s="202" t="s">
        <v>195</v>
      </c>
      <c r="S29" s="202"/>
      <c r="T29" s="192">
        <f>SUM(T7:T28)</f>
        <v>28.799999999999997</v>
      </c>
      <c r="U29" s="193">
        <f>AVERAGE(U7,U8,U9,U10,U11,U12,U13,U14,U15,U16,U17,U18,U19,U20,U21,U22,U23,U25,U28)</f>
        <v>0.85964912280701766</v>
      </c>
      <c r="V29" s="202" t="s">
        <v>44</v>
      </c>
      <c r="W29" s="194">
        <f>(COUNTIF(W7:W28,"Cumple"))/COUNTA(W7:W28)</f>
        <v>0.47368421052631576</v>
      </c>
      <c r="X29" s="71"/>
      <c r="Y29" s="71"/>
      <c r="Z29" s="923" t="s">
        <v>195</v>
      </c>
      <c r="AA29" s="923"/>
      <c r="AB29" s="924"/>
      <c r="AC29" s="73"/>
      <c r="AD29" s="68"/>
    </row>
  </sheetData>
  <autoFilter ref="A6:AD29" xr:uid="{18FB1B8E-C10B-42A1-A076-3C0B21313F36}"/>
  <mergeCells count="25">
    <mergeCell ref="W3:X3"/>
    <mergeCell ref="O1:P2"/>
    <mergeCell ref="Q1:Y2"/>
    <mergeCell ref="Z1:AD4"/>
    <mergeCell ref="A2:B2"/>
    <mergeCell ref="C2:F2"/>
    <mergeCell ref="G2:H2"/>
    <mergeCell ref="I2:N2"/>
    <mergeCell ref="Q3:V3"/>
    <mergeCell ref="A1:B1"/>
    <mergeCell ref="C1:N1"/>
    <mergeCell ref="A3:B3"/>
    <mergeCell ref="C3:F3"/>
    <mergeCell ref="G3:H3"/>
    <mergeCell ref="I3:N3"/>
    <mergeCell ref="O3:P3"/>
    <mergeCell ref="Z29:AB29"/>
    <mergeCell ref="T4:U4"/>
    <mergeCell ref="V4:Y4"/>
    <mergeCell ref="A4:B4"/>
    <mergeCell ref="C4:F4"/>
    <mergeCell ref="G4:H4"/>
    <mergeCell ref="I4:N4"/>
    <mergeCell ref="O4:P4"/>
    <mergeCell ref="Q4:S4"/>
  </mergeCells>
  <conditionalFormatting sqref="R7:R28">
    <cfRule type="cellIs" dxfId="363" priority="32" operator="greaterThan">
      <formula>0</formula>
    </cfRule>
    <cfRule type="cellIs" dxfId="362" priority="33" operator="lessThan">
      <formula>0</formula>
    </cfRule>
  </conditionalFormatting>
  <conditionalFormatting sqref="S7:S28">
    <cfRule type="containsText" dxfId="361" priority="30" operator="containsText" text="Alerta">
      <formula>NOT(ISERROR(SEARCH("Alerta",S7)))</formula>
    </cfRule>
    <cfRule type="containsText" dxfId="360" priority="31" operator="containsText" text="En tiempo">
      <formula>NOT(ISERROR(SEARCH("En tiempo",S7)))</formula>
    </cfRule>
  </conditionalFormatting>
  <conditionalFormatting sqref="U7:U29">
    <cfRule type="cellIs" dxfId="359" priority="9" stopIfTrue="1" operator="between">
      <formula>0.8</formula>
      <formula>1</formula>
    </cfRule>
    <cfRule type="cellIs" dxfId="358" priority="10" stopIfTrue="1" operator="between">
      <formula>0.5</formula>
      <formula>0.79</formula>
    </cfRule>
    <cfRule type="cellIs" dxfId="357" priority="11" stopIfTrue="1" operator="between">
      <formula>0.3</formula>
      <formula>0.49</formula>
    </cfRule>
    <cfRule type="cellIs" dxfId="356" priority="12" stopIfTrue="1" operator="between">
      <formula>0</formula>
      <formula>0.29</formula>
    </cfRule>
  </conditionalFormatting>
  <conditionalFormatting sqref="V7:V28">
    <cfRule type="cellIs" dxfId="355" priority="24" operator="between">
      <formula>0.19</formula>
      <formula>0</formula>
    </cfRule>
    <cfRule type="cellIs" dxfId="354" priority="25" operator="between">
      <formula>0.49</formula>
      <formula>0.2</formula>
    </cfRule>
    <cfRule type="cellIs" dxfId="353" priority="26" operator="between">
      <formula>0.89</formula>
      <formula>0.5</formula>
    </cfRule>
    <cfRule type="cellIs" dxfId="352" priority="27" operator="between">
      <formula>1</formula>
      <formula>0.9</formula>
    </cfRule>
  </conditionalFormatting>
  <conditionalFormatting sqref="W7:W28">
    <cfRule type="containsText" dxfId="351" priority="28" operator="containsText" text="Incumple">
      <formula>NOT(ISERROR(SEARCH("Incumple",W7)))</formula>
    </cfRule>
    <cfRule type="containsText" dxfId="350" priority="29" operator="containsText" text="Cumple">
      <formula>NOT(ISERROR(SEARCH("Cumple",W7)))</formula>
    </cfRule>
  </conditionalFormatting>
  <conditionalFormatting sqref="W29">
    <cfRule type="cellIs" dxfId="349" priority="16" operator="between">
      <formula>0.19</formula>
      <formula>0</formula>
    </cfRule>
    <cfRule type="cellIs" dxfId="348" priority="17" operator="between">
      <formula>0.49</formula>
      <formula>0.2</formula>
    </cfRule>
    <cfRule type="cellIs" dxfId="347" priority="18" operator="between">
      <formula>0.89</formula>
      <formula>0.5</formula>
    </cfRule>
    <cfRule type="cellIs" dxfId="346" priority="19" operator="between">
      <formula>1</formula>
      <formula>0.9</formula>
    </cfRule>
  </conditionalFormatting>
  <conditionalFormatting sqref="Z7:Z28">
    <cfRule type="cellIs" dxfId="345" priority="5" operator="between">
      <formula>0.19</formula>
      <formula>0</formula>
    </cfRule>
    <cfRule type="cellIs" dxfId="344" priority="6" operator="between">
      <formula>0.49</formula>
      <formula>0.2</formula>
    </cfRule>
    <cfRule type="cellIs" dxfId="343" priority="7" operator="between">
      <formula>0.89</formula>
      <formula>0.5</formula>
    </cfRule>
    <cfRule type="cellIs" dxfId="342" priority="8" operator="between">
      <formula>1</formula>
      <formula>0.9</formula>
    </cfRule>
  </conditionalFormatting>
  <conditionalFormatting sqref="AC7:AC28">
    <cfRule type="cellIs" dxfId="341" priority="1" operator="between">
      <formula>0.19</formula>
      <formula>0</formula>
    </cfRule>
    <cfRule type="cellIs" dxfId="340" priority="2" operator="between">
      <formula>0.49</formula>
      <formula>0.2</formula>
    </cfRule>
    <cfRule type="cellIs" dxfId="339" priority="3" operator="between">
      <formula>0.89</formula>
      <formula>0.5</formula>
    </cfRule>
    <cfRule type="cellIs" dxfId="338" priority="4" operator="between">
      <formula>1</formula>
      <formula>0.9</formula>
    </cfRule>
  </conditionalFormatting>
  <conditionalFormatting sqref="AC29">
    <cfRule type="cellIs" dxfId="337" priority="13" operator="between">
      <formula>0.3</formula>
      <formula>0</formula>
    </cfRule>
    <cfRule type="cellIs" dxfId="336" priority="14" operator="between">
      <formula>0.6999</formula>
      <formula>0.3111</formula>
    </cfRule>
    <cfRule type="cellIs" dxfId="335" priority="15" operator="between">
      <formula>1</formula>
      <formula>0.7</formula>
    </cfRule>
  </conditionalFormatting>
  <hyperlinks>
    <hyperlink ref="X18" r:id="rId1" display="Comunicado: http://www.unicauca.edu.co/versionP/documentos/comunicados/comunicado-sobre-firma-yo-suscripci%C3%B3n-en-documentos-institucionales-con-la-menci%C3%B3n-del-cargo-corr                                                           Se anexa el cronograma de Reinducción y su programa.  https://drive.google.com/file/d/1xksKJ3tlGq5DNmOiP8jdR6Ku-Xdcp4I7/view?usp=sharing                                                    También se anexan las presentaciones socializadas a cada uno de los grupos diferenciados por cargo. https://drive.google.com/drive/folders/13sazZA_V27W5K1AzcoWxjpa_nqXPLytP?usp=sharing                                                    Listado de asistencia a la reinducción.  https://drive.google.com/file/d/1SAlLVEVuKecxWFDR0yQ9TWdbkQVWncZQ/view?usp=sharing " xr:uid="{A57BCB6D-272C-4367-A203-BA946C501156}"/>
    <hyperlink ref="X20" r:id="rId2" xr:uid="{86767C24-3178-4D75-A54E-22488554D4E5}"/>
    <hyperlink ref="X21" r:id="rId3" display="Plan de Trabajo Archivo de Historias Laborales.  https://drive.google.com/file/d/1z0dtt2XbCbygBe0qZCCAQA8-UUK5s96Z/view?usp=sharing                                                                                                    Revisión de Requisitos Historias Laborales                           https://drive.google.com/file/d/18xvlgnnXoj-Sc4QEc_XAXF0qIEuFPN5C/view?usp=sharing " xr:uid="{9EB7E411-FEDB-47C1-861C-6FFADE9F5D85}"/>
    <hyperlink ref="X23" r:id="rId4" xr:uid="{24DAF0FD-874E-4B5C-8736-3E4777D4D229}"/>
  </hyperlinks>
  <pageMargins left="0.7" right="0.7" top="0.75" bottom="0.75" header="0.3" footer="0.3"/>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6733B-E0B2-48EB-8940-3FD933212DCC}">
  <sheetPr>
    <tabColor theme="0"/>
  </sheetPr>
  <dimension ref="A1:AD28"/>
  <sheetViews>
    <sheetView topLeftCell="A25" zoomScale="75" zoomScaleNormal="75" workbookViewId="0">
      <selection activeCell="Y7" sqref="Y7"/>
    </sheetView>
  </sheetViews>
  <sheetFormatPr baseColWidth="10" defaultColWidth="18.85546875" defaultRowHeight="12.75" x14ac:dyDescent="0.2"/>
  <cols>
    <col min="1" max="2" width="9.85546875" customWidth="1"/>
    <col min="3" max="3" width="66.140625" customWidth="1"/>
    <col min="4" max="4" width="41.5703125" customWidth="1"/>
    <col min="5" max="5" width="31.5703125" customWidth="1"/>
    <col min="6" max="6" width="43.85546875" customWidth="1"/>
    <col min="7" max="7" width="22.140625" customWidth="1"/>
    <col min="8" max="8" width="9.42578125" bestFit="1" customWidth="1"/>
    <col min="9" max="9" width="17.7109375" customWidth="1"/>
    <col min="10" max="10" width="11.28515625" customWidth="1"/>
    <col min="11" max="11" width="16.140625" customWidth="1"/>
    <col min="12" max="12" width="21.5703125" customWidth="1"/>
    <col min="13" max="13" width="15.5703125" customWidth="1"/>
    <col min="14" max="14" width="14" customWidth="1"/>
    <col min="15" max="15" width="9.42578125" customWidth="1"/>
    <col min="16" max="16" width="16.28515625" customWidth="1"/>
    <col min="17" max="17" width="17" customWidth="1"/>
    <col min="18" max="19" width="12.42578125" customWidth="1"/>
    <col min="20" max="20" width="18" customWidth="1"/>
    <col min="21" max="21" width="15.5703125" customWidth="1"/>
    <col min="22" max="22" width="15.140625" customWidth="1"/>
    <col min="23" max="23" width="15.42578125" customWidth="1"/>
    <col min="24" max="24" width="55" customWidth="1"/>
    <col min="25" max="25" width="73.42578125" customWidth="1"/>
    <col min="26" max="26" width="13" bestFit="1" customWidth="1"/>
    <col min="27" max="27" width="14.85546875" customWidth="1"/>
    <col min="28" max="28" width="12" customWidth="1"/>
    <col min="29" max="29" width="13" bestFit="1" customWidth="1"/>
    <col min="30" max="30" width="65.28515625" customWidth="1"/>
  </cols>
  <sheetData>
    <row r="1" spans="1:30" ht="109.5" customHeight="1" thickBot="1" x14ac:dyDescent="0.25">
      <c r="A1" s="861" t="s">
        <v>0</v>
      </c>
      <c r="B1" s="861"/>
      <c r="C1" s="861" t="s">
        <v>1</v>
      </c>
      <c r="D1" s="861"/>
      <c r="E1" s="861"/>
      <c r="F1" s="861"/>
      <c r="G1" s="861"/>
      <c r="H1" s="861"/>
      <c r="I1" s="861"/>
      <c r="J1" s="861"/>
      <c r="K1" s="861"/>
      <c r="L1" s="861"/>
      <c r="M1" s="861"/>
      <c r="N1" s="861"/>
      <c r="O1" s="861"/>
      <c r="P1" s="861"/>
      <c r="Q1" s="861" t="s">
        <v>2</v>
      </c>
      <c r="R1" s="861"/>
      <c r="S1" s="861"/>
      <c r="T1" s="861"/>
      <c r="U1" s="861"/>
      <c r="V1" s="861"/>
      <c r="W1" s="861"/>
      <c r="X1" s="861"/>
      <c r="Y1" s="861"/>
      <c r="Z1" s="861" t="s">
        <v>2</v>
      </c>
      <c r="AA1" s="861"/>
      <c r="AB1" s="861"/>
      <c r="AC1" s="861"/>
      <c r="AD1" s="861"/>
    </row>
    <row r="2" spans="1:30" ht="22.5" customHeight="1" thickBot="1" x14ac:dyDescent="0.25">
      <c r="A2" s="861" t="s">
        <v>197</v>
      </c>
      <c r="B2" s="861"/>
      <c r="C2" s="861" t="s">
        <v>4</v>
      </c>
      <c r="D2" s="909"/>
      <c r="E2" s="909"/>
      <c r="F2" s="909"/>
      <c r="G2" s="861" t="s">
        <v>5</v>
      </c>
      <c r="H2" s="861"/>
      <c r="I2" s="861" t="s">
        <v>6</v>
      </c>
      <c r="J2" s="861"/>
      <c r="K2" s="861"/>
      <c r="L2" s="861"/>
      <c r="M2" s="861"/>
      <c r="N2" s="861"/>
      <c r="O2" s="861"/>
      <c r="P2" s="861"/>
      <c r="Q2" s="861"/>
      <c r="R2" s="861"/>
      <c r="S2" s="861"/>
      <c r="T2" s="861"/>
      <c r="U2" s="861"/>
      <c r="V2" s="861"/>
      <c r="W2" s="861"/>
      <c r="X2" s="861"/>
      <c r="Y2" s="861"/>
      <c r="Z2" s="861"/>
      <c r="AA2" s="861"/>
      <c r="AB2" s="861"/>
      <c r="AC2" s="861"/>
      <c r="AD2" s="861"/>
    </row>
    <row r="3" spans="1:30" ht="36.75" customHeight="1" x14ac:dyDescent="0.2">
      <c r="A3" s="907" t="s">
        <v>7</v>
      </c>
      <c r="B3" s="907"/>
      <c r="C3" s="861" t="s">
        <v>857</v>
      </c>
      <c r="D3" s="861"/>
      <c r="E3" s="861"/>
      <c r="F3" s="861"/>
      <c r="G3" s="907" t="s">
        <v>9</v>
      </c>
      <c r="H3" s="907"/>
      <c r="I3" s="908">
        <v>44866</v>
      </c>
      <c r="J3" s="861"/>
      <c r="K3" s="861"/>
      <c r="L3" s="861"/>
      <c r="M3" s="861"/>
      <c r="N3" s="861"/>
      <c r="O3" s="907" t="s">
        <v>10</v>
      </c>
      <c r="P3" s="907"/>
      <c r="Q3" s="908">
        <v>45686</v>
      </c>
      <c r="R3" s="908"/>
      <c r="S3" s="908"/>
      <c r="T3" s="908"/>
      <c r="U3" s="908"/>
      <c r="V3" s="908"/>
      <c r="W3" s="907" t="s">
        <v>11</v>
      </c>
      <c r="X3" s="907"/>
      <c r="Y3" s="164" t="s">
        <v>608</v>
      </c>
      <c r="Z3" s="861"/>
      <c r="AA3" s="861"/>
      <c r="AB3" s="861"/>
      <c r="AC3" s="861"/>
      <c r="AD3" s="861"/>
    </row>
    <row r="4" spans="1:30" ht="42.75" customHeight="1" thickBot="1" x14ac:dyDescent="0.25">
      <c r="A4" s="907" t="s">
        <v>13</v>
      </c>
      <c r="B4" s="907"/>
      <c r="C4" s="861" t="s">
        <v>858</v>
      </c>
      <c r="D4" s="861"/>
      <c r="E4" s="861"/>
      <c r="F4" s="861"/>
      <c r="G4" s="907" t="s">
        <v>15</v>
      </c>
      <c r="H4" s="907"/>
      <c r="I4" s="908">
        <v>45230</v>
      </c>
      <c r="J4" s="908"/>
      <c r="K4" s="908"/>
      <c r="L4" s="908"/>
      <c r="M4" s="908"/>
      <c r="N4" s="908"/>
      <c r="O4" s="907" t="s">
        <v>16</v>
      </c>
      <c r="P4" s="907"/>
      <c r="Q4" s="861" t="s">
        <v>491</v>
      </c>
      <c r="R4" s="861"/>
      <c r="S4" s="861"/>
      <c r="T4" s="905" t="s">
        <v>18</v>
      </c>
      <c r="U4" s="905"/>
      <c r="V4" s="861" t="s">
        <v>3159</v>
      </c>
      <c r="W4" s="861"/>
      <c r="X4" s="861"/>
      <c r="Y4" s="861"/>
      <c r="Z4" s="861"/>
      <c r="AA4" s="861"/>
      <c r="AB4" s="861"/>
      <c r="AC4" s="861"/>
      <c r="AD4" s="861"/>
    </row>
    <row r="5" spans="1:30" ht="15.75" thickBot="1" x14ac:dyDescent="0.25">
      <c r="A5" s="848" t="s">
        <v>19</v>
      </c>
      <c r="B5" s="849"/>
      <c r="C5" s="849"/>
      <c r="D5" s="849"/>
      <c r="E5" s="849"/>
      <c r="F5" s="849"/>
      <c r="G5" s="849"/>
      <c r="H5" s="849"/>
      <c r="I5" s="849"/>
      <c r="J5" s="849"/>
      <c r="K5" s="849"/>
      <c r="L5" s="849"/>
      <c r="M5" s="849"/>
      <c r="N5" s="850"/>
      <c r="O5" s="851" t="s">
        <v>20</v>
      </c>
      <c r="P5" s="852"/>
      <c r="Q5" s="852"/>
      <c r="R5" s="852"/>
      <c r="S5" s="852"/>
      <c r="T5" s="852"/>
      <c r="U5" s="852"/>
      <c r="V5" s="852"/>
      <c r="W5" s="852"/>
      <c r="X5" s="852"/>
      <c r="Y5" s="853"/>
      <c r="Z5" s="854" t="s">
        <v>21</v>
      </c>
      <c r="AA5" s="855"/>
      <c r="AB5" s="855"/>
      <c r="AC5" s="855"/>
      <c r="AD5" s="856"/>
    </row>
    <row r="6" spans="1:30" ht="105.75" thickBot="1" x14ac:dyDescent="0.25">
      <c r="A6" s="184" t="s">
        <v>22</v>
      </c>
      <c r="B6" s="184" t="s">
        <v>23</v>
      </c>
      <c r="C6" s="184" t="s">
        <v>493</v>
      </c>
      <c r="D6" s="184" t="s">
        <v>25</v>
      </c>
      <c r="E6" s="184" t="s">
        <v>26</v>
      </c>
      <c r="F6" s="184" t="s">
        <v>27</v>
      </c>
      <c r="G6" s="184" t="s">
        <v>28</v>
      </c>
      <c r="H6" s="184" t="s">
        <v>29</v>
      </c>
      <c r="I6" s="184" t="s">
        <v>30</v>
      </c>
      <c r="J6" s="184" t="s">
        <v>31</v>
      </c>
      <c r="K6" s="184" t="s">
        <v>32</v>
      </c>
      <c r="L6" s="184" t="s">
        <v>33</v>
      </c>
      <c r="M6" s="184" t="s">
        <v>34</v>
      </c>
      <c r="N6" s="184" t="s">
        <v>35</v>
      </c>
      <c r="O6" s="185" t="s">
        <v>36</v>
      </c>
      <c r="P6" s="185" t="s">
        <v>37</v>
      </c>
      <c r="Q6" s="185" t="s">
        <v>38</v>
      </c>
      <c r="R6" s="185" t="s">
        <v>39</v>
      </c>
      <c r="S6" s="185" t="s">
        <v>40</v>
      </c>
      <c r="T6" s="185" t="s">
        <v>41</v>
      </c>
      <c r="U6" s="185" t="s">
        <v>42</v>
      </c>
      <c r="V6" s="185" t="s">
        <v>43</v>
      </c>
      <c r="W6" s="185" t="s">
        <v>44</v>
      </c>
      <c r="X6" s="185" t="s">
        <v>45</v>
      </c>
      <c r="Y6" s="185" t="s">
        <v>46</v>
      </c>
      <c r="Z6" s="186" t="s">
        <v>47</v>
      </c>
      <c r="AA6" s="186" t="s">
        <v>610</v>
      </c>
      <c r="AB6" s="186" t="s">
        <v>49</v>
      </c>
      <c r="AC6" s="186" t="s">
        <v>50</v>
      </c>
      <c r="AD6" s="186" t="s">
        <v>51</v>
      </c>
    </row>
    <row r="7" spans="1:30" s="226" customFormat="1" ht="351.75" customHeight="1" thickBot="1" x14ac:dyDescent="0.25">
      <c r="A7" s="143" t="s">
        <v>202</v>
      </c>
      <c r="B7" s="143" t="s">
        <v>53</v>
      </c>
      <c r="C7" s="143" t="s">
        <v>859</v>
      </c>
      <c r="D7" s="143" t="s">
        <v>860</v>
      </c>
      <c r="E7" s="143" t="s">
        <v>861</v>
      </c>
      <c r="F7" s="143" t="s">
        <v>862</v>
      </c>
      <c r="G7" s="143" t="s">
        <v>863</v>
      </c>
      <c r="H7" s="143">
        <v>2</v>
      </c>
      <c r="I7" s="143" t="s">
        <v>864</v>
      </c>
      <c r="J7" s="143" t="s">
        <v>865</v>
      </c>
      <c r="K7" s="143" t="s">
        <v>215</v>
      </c>
      <c r="L7" s="143" t="s">
        <v>863</v>
      </c>
      <c r="M7" s="747">
        <v>44866</v>
      </c>
      <c r="N7" s="748">
        <v>45915</v>
      </c>
      <c r="O7" s="749">
        <f>(+N7-M7)/7</f>
        <v>149.85714285714286</v>
      </c>
      <c r="P7" s="750">
        <v>45686</v>
      </c>
      <c r="Q7" s="682">
        <f>P7</f>
        <v>45686</v>
      </c>
      <c r="R7" s="361">
        <f>(Q7-M7)/7-O7</f>
        <v>-32.714285714285722</v>
      </c>
      <c r="S7" s="362" t="str">
        <f ca="1">IF((N7-TODAY())/7&gt;=0,"En tiempo","Alerta")</f>
        <v>En tiempo</v>
      </c>
      <c r="T7" s="751">
        <v>0</v>
      </c>
      <c r="U7" s="363">
        <f>IF(T7/H7=1,1,+T7/H7)</f>
        <v>0</v>
      </c>
      <c r="V7" s="364" t="str">
        <f>IF(R7&gt;O7,0%,IF(R7&lt;=0,"100%",1-(R7/O7)))</f>
        <v>100%</v>
      </c>
      <c r="W7" s="365" t="str">
        <f t="shared" ref="W7:W27" si="0">IF(Q7&lt;=N7,"Cumple","Incumple")</f>
        <v>Cumple</v>
      </c>
      <c r="X7" s="735" t="s">
        <v>3141</v>
      </c>
      <c r="Y7" s="139" t="s">
        <v>3142</v>
      </c>
      <c r="Z7" s="386">
        <f>(U7+V7)/2</f>
        <v>0.5</v>
      </c>
      <c r="AA7" s="143"/>
      <c r="AB7" s="143"/>
      <c r="AC7" s="386">
        <f>AVERAGE(Z7:AB7)</f>
        <v>0.5</v>
      </c>
      <c r="AD7" s="143"/>
    </row>
    <row r="8" spans="1:30" s="226" customFormat="1" ht="86.25" thickBot="1" x14ac:dyDescent="0.25">
      <c r="A8" s="143" t="s">
        <v>202</v>
      </c>
      <c r="B8" s="143" t="s">
        <v>53</v>
      </c>
      <c r="C8" s="143" t="s">
        <v>866</v>
      </c>
      <c r="D8" s="143" t="s">
        <v>867</v>
      </c>
      <c r="E8" s="143" t="s">
        <v>868</v>
      </c>
      <c r="F8" s="143" t="s">
        <v>869</v>
      </c>
      <c r="G8" s="143" t="s">
        <v>870</v>
      </c>
      <c r="H8" s="143">
        <v>1</v>
      </c>
      <c r="I8" s="143" t="s">
        <v>871</v>
      </c>
      <c r="J8" s="251" t="s">
        <v>60</v>
      </c>
      <c r="K8" s="143" t="s">
        <v>215</v>
      </c>
      <c r="L8" s="143" t="s">
        <v>872</v>
      </c>
      <c r="M8" s="480">
        <v>44866</v>
      </c>
      <c r="N8" s="480">
        <v>44958</v>
      </c>
      <c r="O8" s="360">
        <f t="shared" ref="O8:O27" si="1">(+N8-M8)/7</f>
        <v>13.142857142857142</v>
      </c>
      <c r="P8" s="480">
        <v>44955</v>
      </c>
      <c r="Q8" s="480">
        <v>44955</v>
      </c>
      <c r="R8" s="361">
        <f t="shared" ref="R8:R21" si="2">(P8-M8)/7-O8</f>
        <v>-0.42857142857142883</v>
      </c>
      <c r="S8" s="362" t="str">
        <f t="shared" ref="S8:S27" ca="1" si="3">IF((N8-TODAY())/7&gt;=0,"En tiempo","Alerta")</f>
        <v>Alerta</v>
      </c>
      <c r="T8" s="357">
        <v>1</v>
      </c>
      <c r="U8" s="363">
        <f t="shared" ref="U8:U27" si="4">IF(T8/H8=1,1,+T8/H8)</f>
        <v>1</v>
      </c>
      <c r="V8" s="364" t="str">
        <f t="shared" ref="V8:V21" si="5">IF(R8&gt;O8,0%,IF(R8&lt;=0,"100%",1-(R8/O8)))</f>
        <v>100%</v>
      </c>
      <c r="W8" s="365" t="str">
        <f t="shared" si="0"/>
        <v>Cumple</v>
      </c>
      <c r="X8" s="139" t="s">
        <v>873</v>
      </c>
      <c r="Y8" s="139" t="s">
        <v>874</v>
      </c>
      <c r="Z8" s="386">
        <f t="shared" ref="Z8:Z27" si="6">(U8+V8)/2</f>
        <v>1</v>
      </c>
      <c r="AA8" s="143"/>
      <c r="AB8" s="143"/>
      <c r="AC8" s="386">
        <f t="shared" ref="AC8:AC27" si="7">AVERAGE(Z8:AB8)</f>
        <v>1</v>
      </c>
      <c r="AD8" s="251"/>
    </row>
    <row r="9" spans="1:30" s="226" customFormat="1" ht="276" customHeight="1" thickBot="1" x14ac:dyDescent="0.25">
      <c r="A9" s="143" t="s">
        <v>202</v>
      </c>
      <c r="B9" s="143" t="s">
        <v>53</v>
      </c>
      <c r="C9" s="143" t="s">
        <v>875</v>
      </c>
      <c r="D9" s="143" t="s">
        <v>876</v>
      </c>
      <c r="E9" s="143" t="s">
        <v>877</v>
      </c>
      <c r="F9" s="143" t="s">
        <v>878</v>
      </c>
      <c r="G9" s="143" t="s">
        <v>879</v>
      </c>
      <c r="H9" s="143">
        <v>1</v>
      </c>
      <c r="I9" s="143" t="s">
        <v>880</v>
      </c>
      <c r="J9" s="251" t="s">
        <v>241</v>
      </c>
      <c r="K9" s="143" t="s">
        <v>881</v>
      </c>
      <c r="L9" s="143" t="s">
        <v>882</v>
      </c>
      <c r="M9" s="747">
        <v>44866</v>
      </c>
      <c r="N9" s="747">
        <v>45838</v>
      </c>
      <c r="O9" s="749">
        <f t="shared" si="1"/>
        <v>138.85714285714286</v>
      </c>
      <c r="P9" s="750">
        <v>45686</v>
      </c>
      <c r="Q9" s="682">
        <f>P9</f>
        <v>45686</v>
      </c>
      <c r="R9" s="361">
        <f t="shared" ref="R9:R10" si="8">(Q9-M9)/7-O9</f>
        <v>-21.714285714285722</v>
      </c>
      <c r="S9" s="362" t="str">
        <f t="shared" ca="1" si="3"/>
        <v>En tiempo</v>
      </c>
      <c r="T9" s="751">
        <v>0.8</v>
      </c>
      <c r="U9" s="363">
        <f t="shared" si="4"/>
        <v>0.8</v>
      </c>
      <c r="V9" s="364" t="str">
        <f>IF(R9&gt;O9,0%,IF(R9&lt;=0,"100%",1-(R9/O9)))</f>
        <v>100%</v>
      </c>
      <c r="W9" s="365" t="str">
        <f t="shared" si="0"/>
        <v>Cumple</v>
      </c>
      <c r="X9" s="139" t="s">
        <v>883</v>
      </c>
      <c r="Y9" s="139" t="s">
        <v>3143</v>
      </c>
      <c r="Z9" s="386">
        <f t="shared" si="6"/>
        <v>0.9</v>
      </c>
      <c r="AA9" s="143"/>
      <c r="AB9" s="143"/>
      <c r="AC9" s="386">
        <f t="shared" si="7"/>
        <v>0.9</v>
      </c>
      <c r="AD9" s="251"/>
    </row>
    <row r="10" spans="1:30" s="226" customFormat="1" ht="292.5" customHeight="1" thickBot="1" x14ac:dyDescent="0.25">
      <c r="A10" s="143" t="s">
        <v>202</v>
      </c>
      <c r="B10" s="143" t="s">
        <v>53</v>
      </c>
      <c r="C10" s="143" t="s">
        <v>884</v>
      </c>
      <c r="D10" s="143" t="s">
        <v>885</v>
      </c>
      <c r="E10" s="143" t="s">
        <v>886</v>
      </c>
      <c r="F10" s="143" t="s">
        <v>887</v>
      </c>
      <c r="G10" s="143" t="s">
        <v>888</v>
      </c>
      <c r="H10" s="143">
        <v>1</v>
      </c>
      <c r="I10" s="143" t="s">
        <v>871</v>
      </c>
      <c r="J10" s="251" t="s">
        <v>60</v>
      </c>
      <c r="K10" s="143" t="s">
        <v>881</v>
      </c>
      <c r="L10" s="143" t="s">
        <v>889</v>
      </c>
      <c r="M10" s="747">
        <v>44866</v>
      </c>
      <c r="N10" s="747">
        <v>45733</v>
      </c>
      <c r="O10" s="749">
        <f t="shared" si="1"/>
        <v>123.85714285714286</v>
      </c>
      <c r="P10" s="750">
        <v>45686</v>
      </c>
      <c r="Q10" s="682">
        <f>P10</f>
        <v>45686</v>
      </c>
      <c r="R10" s="361">
        <f t="shared" si="8"/>
        <v>-6.7142857142857224</v>
      </c>
      <c r="S10" s="362" t="str">
        <f t="shared" ca="1" si="3"/>
        <v>Alerta</v>
      </c>
      <c r="T10" s="751">
        <v>0.85</v>
      </c>
      <c r="U10" s="363">
        <f t="shared" si="4"/>
        <v>0.85</v>
      </c>
      <c r="V10" s="364" t="str">
        <f>IF(R10&gt;O10,0%,IF(R10&lt;=0,"100%",1-(R10/O10)))</f>
        <v>100%</v>
      </c>
      <c r="W10" s="365" t="str">
        <f t="shared" si="0"/>
        <v>Cumple</v>
      </c>
      <c r="X10" s="139" t="s">
        <v>3144</v>
      </c>
      <c r="Y10" s="139" t="s">
        <v>3145</v>
      </c>
      <c r="Z10" s="386">
        <f t="shared" si="6"/>
        <v>0.92500000000000004</v>
      </c>
      <c r="AA10" s="143"/>
      <c r="AB10" s="143"/>
      <c r="AC10" s="386">
        <f t="shared" si="7"/>
        <v>0.92500000000000004</v>
      </c>
      <c r="AD10" s="251"/>
    </row>
    <row r="11" spans="1:30" s="226" customFormat="1" ht="185.25" customHeight="1" thickBot="1" x14ac:dyDescent="0.25">
      <c r="A11" s="143" t="s">
        <v>202</v>
      </c>
      <c r="B11" s="143" t="s">
        <v>53</v>
      </c>
      <c r="C11" s="143" t="s">
        <v>890</v>
      </c>
      <c r="D11" s="143" t="s">
        <v>891</v>
      </c>
      <c r="E11" s="143" t="s">
        <v>892</v>
      </c>
      <c r="F11" s="143" t="s">
        <v>893</v>
      </c>
      <c r="G11" s="143" t="s">
        <v>894</v>
      </c>
      <c r="H11" s="143">
        <v>1</v>
      </c>
      <c r="I11" s="143" t="s">
        <v>871</v>
      </c>
      <c r="J11" s="251" t="s">
        <v>60</v>
      </c>
      <c r="K11" s="143" t="s">
        <v>881</v>
      </c>
      <c r="L11" s="143" t="s">
        <v>895</v>
      </c>
      <c r="M11" s="480">
        <v>44866</v>
      </c>
      <c r="N11" s="480">
        <v>44956</v>
      </c>
      <c r="O11" s="360">
        <f t="shared" si="1"/>
        <v>12.857142857142858</v>
      </c>
      <c r="P11" s="356">
        <v>45282</v>
      </c>
      <c r="Q11" s="356">
        <v>45282</v>
      </c>
      <c r="R11" s="361">
        <f t="shared" si="2"/>
        <v>46.571428571428569</v>
      </c>
      <c r="S11" s="362" t="str">
        <f t="shared" ca="1" si="3"/>
        <v>Alerta</v>
      </c>
      <c r="T11" s="357">
        <v>1</v>
      </c>
      <c r="U11" s="363">
        <f t="shared" si="4"/>
        <v>1</v>
      </c>
      <c r="V11" s="364">
        <f t="shared" si="5"/>
        <v>0</v>
      </c>
      <c r="W11" s="365" t="str">
        <f t="shared" si="0"/>
        <v>Incumple</v>
      </c>
      <c r="X11" s="139" t="s">
        <v>896</v>
      </c>
      <c r="Y11" s="139" t="s">
        <v>897</v>
      </c>
      <c r="Z11" s="386">
        <f t="shared" si="6"/>
        <v>0.5</v>
      </c>
      <c r="AA11" s="143"/>
      <c r="AB11" s="143"/>
      <c r="AC11" s="386">
        <f t="shared" si="7"/>
        <v>0.5</v>
      </c>
      <c r="AD11" s="251"/>
    </row>
    <row r="12" spans="1:30" s="226" customFormat="1" ht="186" thickBot="1" x14ac:dyDescent="0.25">
      <c r="A12" s="143" t="s">
        <v>202</v>
      </c>
      <c r="B12" s="143" t="s">
        <v>53</v>
      </c>
      <c r="C12" s="143" t="s">
        <v>898</v>
      </c>
      <c r="D12" s="143" t="s">
        <v>899</v>
      </c>
      <c r="E12" s="143" t="s">
        <v>900</v>
      </c>
      <c r="F12" s="143" t="s">
        <v>901</v>
      </c>
      <c r="G12" s="143" t="s">
        <v>902</v>
      </c>
      <c r="H12" s="143">
        <v>1</v>
      </c>
      <c r="I12" s="143" t="s">
        <v>871</v>
      </c>
      <c r="J12" s="251" t="s">
        <v>60</v>
      </c>
      <c r="K12" s="143" t="s">
        <v>881</v>
      </c>
      <c r="L12" s="143" t="s">
        <v>903</v>
      </c>
      <c r="M12" s="480">
        <v>44866</v>
      </c>
      <c r="N12" s="480">
        <v>45000</v>
      </c>
      <c r="O12" s="360">
        <f t="shared" si="1"/>
        <v>19.142857142857142</v>
      </c>
      <c r="P12" s="476">
        <v>45525</v>
      </c>
      <c r="Q12" s="476">
        <v>45525</v>
      </c>
      <c r="R12" s="361">
        <f t="shared" ref="R12:R13" si="9">(Q12-M12)/7-O12</f>
        <v>75</v>
      </c>
      <c r="S12" s="362" t="str">
        <f t="shared" ca="1" si="3"/>
        <v>Alerta</v>
      </c>
      <c r="T12" s="358">
        <v>1</v>
      </c>
      <c r="U12" s="363">
        <f t="shared" si="4"/>
        <v>1</v>
      </c>
      <c r="V12" s="364">
        <f>IF(R12&gt;O12,0%,IF(R12&lt;=0,"100%",1-(R12/O12)))</f>
        <v>0</v>
      </c>
      <c r="W12" s="365" t="str">
        <f t="shared" si="0"/>
        <v>Incumple</v>
      </c>
      <c r="X12" s="139" t="s">
        <v>3256</v>
      </c>
      <c r="Y12" s="139" t="s">
        <v>904</v>
      </c>
      <c r="Z12" s="386">
        <f t="shared" si="6"/>
        <v>0.5</v>
      </c>
      <c r="AA12" s="143"/>
      <c r="AB12" s="143"/>
      <c r="AC12" s="386">
        <f t="shared" si="7"/>
        <v>0.5</v>
      </c>
      <c r="AD12" s="251"/>
    </row>
    <row r="13" spans="1:30" s="226" customFormat="1" ht="328.5" thickBot="1" x14ac:dyDescent="0.25">
      <c r="A13" s="143" t="s">
        <v>202</v>
      </c>
      <c r="B13" s="143" t="s">
        <v>53</v>
      </c>
      <c r="C13" s="143" t="s">
        <v>905</v>
      </c>
      <c r="D13" s="143" t="s">
        <v>906</v>
      </c>
      <c r="E13" s="143" t="s">
        <v>907</v>
      </c>
      <c r="F13" s="143" t="s">
        <v>908</v>
      </c>
      <c r="G13" s="143" t="s">
        <v>909</v>
      </c>
      <c r="H13" s="143">
        <v>1</v>
      </c>
      <c r="I13" s="143" t="s">
        <v>871</v>
      </c>
      <c r="J13" s="251" t="s">
        <v>60</v>
      </c>
      <c r="K13" s="143" t="s">
        <v>881</v>
      </c>
      <c r="L13" s="143" t="s">
        <v>910</v>
      </c>
      <c r="M13" s="747">
        <v>44866</v>
      </c>
      <c r="N13" s="747">
        <v>45838</v>
      </c>
      <c r="O13" s="749">
        <f t="shared" si="1"/>
        <v>138.85714285714286</v>
      </c>
      <c r="P13" s="750">
        <v>45686</v>
      </c>
      <c r="Q13" s="682">
        <f>P13</f>
        <v>45686</v>
      </c>
      <c r="R13" s="361">
        <f t="shared" si="9"/>
        <v>-21.714285714285722</v>
      </c>
      <c r="S13" s="362" t="str">
        <f t="shared" ca="1" si="3"/>
        <v>En tiempo</v>
      </c>
      <c r="T13" s="751">
        <v>0.85</v>
      </c>
      <c r="U13" s="363">
        <f t="shared" si="4"/>
        <v>0.85</v>
      </c>
      <c r="V13" s="364" t="str">
        <f>IF(R13&gt;O13,0%,IF(R13&lt;=0,"100%",1-(R13/O13)))</f>
        <v>100%</v>
      </c>
      <c r="W13" s="365" t="str">
        <f t="shared" si="0"/>
        <v>Cumple</v>
      </c>
      <c r="X13" s="139" t="s">
        <v>3146</v>
      </c>
      <c r="Y13" s="139" t="s">
        <v>3147</v>
      </c>
      <c r="Z13" s="386">
        <f t="shared" si="6"/>
        <v>0.92500000000000004</v>
      </c>
      <c r="AA13" s="143"/>
      <c r="AB13" s="143"/>
      <c r="AC13" s="386">
        <f t="shared" si="7"/>
        <v>0.92500000000000004</v>
      </c>
      <c r="AD13" s="251"/>
    </row>
    <row r="14" spans="1:30" s="226" customFormat="1" ht="72" thickBot="1" x14ac:dyDescent="0.25">
      <c r="A14" s="143" t="s">
        <v>202</v>
      </c>
      <c r="B14" s="143" t="s">
        <v>53</v>
      </c>
      <c r="C14" s="143" t="s">
        <v>911</v>
      </c>
      <c r="D14" s="143" t="s">
        <v>912</v>
      </c>
      <c r="E14" s="143" t="s">
        <v>913</v>
      </c>
      <c r="F14" s="143" t="s">
        <v>914</v>
      </c>
      <c r="G14" s="143" t="s">
        <v>915</v>
      </c>
      <c r="H14" s="143">
        <v>2</v>
      </c>
      <c r="I14" s="143" t="s">
        <v>871</v>
      </c>
      <c r="J14" s="251" t="s">
        <v>60</v>
      </c>
      <c r="K14" s="251" t="s">
        <v>215</v>
      </c>
      <c r="L14" s="143" t="s">
        <v>916</v>
      </c>
      <c r="M14" s="480">
        <v>44866</v>
      </c>
      <c r="N14" s="480">
        <v>44956</v>
      </c>
      <c r="O14" s="360">
        <f t="shared" si="1"/>
        <v>12.857142857142858</v>
      </c>
      <c r="P14" s="480">
        <v>44955</v>
      </c>
      <c r="Q14" s="480">
        <v>44955</v>
      </c>
      <c r="R14" s="361">
        <f t="shared" si="2"/>
        <v>-0.14285714285714413</v>
      </c>
      <c r="S14" s="362" t="str">
        <f t="shared" ca="1" si="3"/>
        <v>Alerta</v>
      </c>
      <c r="T14" s="357">
        <v>2</v>
      </c>
      <c r="U14" s="363">
        <f t="shared" si="4"/>
        <v>1</v>
      </c>
      <c r="V14" s="364" t="str">
        <f t="shared" si="5"/>
        <v>100%</v>
      </c>
      <c r="W14" s="365" t="str">
        <f t="shared" si="0"/>
        <v>Cumple</v>
      </c>
      <c r="X14" s="139" t="s">
        <v>917</v>
      </c>
      <c r="Y14" s="139" t="s">
        <v>918</v>
      </c>
      <c r="Z14" s="386">
        <f t="shared" si="6"/>
        <v>1</v>
      </c>
      <c r="AA14" s="143"/>
      <c r="AB14" s="143"/>
      <c r="AC14" s="386">
        <f t="shared" si="7"/>
        <v>1</v>
      </c>
      <c r="AD14" s="251"/>
    </row>
    <row r="15" spans="1:30" s="226" customFormat="1" ht="275.25" customHeight="1" thickBot="1" x14ac:dyDescent="0.25">
      <c r="A15" s="143" t="s">
        <v>202</v>
      </c>
      <c r="B15" s="143" t="s">
        <v>53</v>
      </c>
      <c r="C15" s="143" t="s">
        <v>919</v>
      </c>
      <c r="D15" s="143" t="s">
        <v>920</v>
      </c>
      <c r="E15" s="143" t="s">
        <v>921</v>
      </c>
      <c r="F15" s="143" t="s">
        <v>922</v>
      </c>
      <c r="G15" s="143" t="s">
        <v>923</v>
      </c>
      <c r="H15" s="355">
        <v>1</v>
      </c>
      <c r="I15" s="143" t="s">
        <v>924</v>
      </c>
      <c r="J15" s="251" t="s">
        <v>865</v>
      </c>
      <c r="K15" s="143" t="s">
        <v>215</v>
      </c>
      <c r="L15" s="143" t="s">
        <v>923</v>
      </c>
      <c r="M15" s="747">
        <v>44866</v>
      </c>
      <c r="N15" s="747">
        <v>45915</v>
      </c>
      <c r="O15" s="749">
        <f t="shared" si="1"/>
        <v>149.85714285714286</v>
      </c>
      <c r="P15" s="750">
        <v>45686</v>
      </c>
      <c r="Q15" s="682">
        <f>P15</f>
        <v>45686</v>
      </c>
      <c r="R15" s="361">
        <f t="shared" ref="R15:R16" si="10">(Q15-M15)/7-O15</f>
        <v>-32.714285714285722</v>
      </c>
      <c r="S15" s="362" t="str">
        <f t="shared" ca="1" si="3"/>
        <v>En tiempo</v>
      </c>
      <c r="T15" s="751">
        <v>0.95</v>
      </c>
      <c r="U15" s="363">
        <f t="shared" si="4"/>
        <v>0.95</v>
      </c>
      <c r="V15" s="364" t="str">
        <f>IF(R15&gt;O15,0%,IF(R15&lt;=0,"100%",1-(R15/O15)))</f>
        <v>100%</v>
      </c>
      <c r="W15" s="365" t="str">
        <f t="shared" si="0"/>
        <v>Cumple</v>
      </c>
      <c r="X15" s="139" t="s">
        <v>3148</v>
      </c>
      <c r="Y15" s="139" t="s">
        <v>925</v>
      </c>
      <c r="Z15" s="386">
        <f t="shared" si="6"/>
        <v>0.97499999999999998</v>
      </c>
      <c r="AA15" s="143"/>
      <c r="AB15" s="143"/>
      <c r="AC15" s="386">
        <f t="shared" si="7"/>
        <v>0.97499999999999998</v>
      </c>
      <c r="AD15" s="251"/>
    </row>
    <row r="16" spans="1:30" s="226" customFormat="1" ht="374.25" customHeight="1" thickBot="1" x14ac:dyDescent="0.25">
      <c r="A16" s="143" t="s">
        <v>202</v>
      </c>
      <c r="B16" s="143" t="s">
        <v>53</v>
      </c>
      <c r="C16" s="143" t="s">
        <v>926</v>
      </c>
      <c r="D16" s="143" t="s">
        <v>927</v>
      </c>
      <c r="E16" s="143" t="s">
        <v>928</v>
      </c>
      <c r="F16" s="143" t="s">
        <v>929</v>
      </c>
      <c r="G16" s="143" t="s">
        <v>930</v>
      </c>
      <c r="H16" s="143">
        <v>2</v>
      </c>
      <c r="I16" s="143" t="s">
        <v>931</v>
      </c>
      <c r="J16" s="251" t="s">
        <v>865</v>
      </c>
      <c r="K16" s="143" t="s">
        <v>881</v>
      </c>
      <c r="L16" s="143" t="s">
        <v>932</v>
      </c>
      <c r="M16" s="747">
        <v>44866</v>
      </c>
      <c r="N16" s="747">
        <v>45838</v>
      </c>
      <c r="O16" s="749">
        <f t="shared" si="1"/>
        <v>138.85714285714286</v>
      </c>
      <c r="P16" s="750">
        <v>45686</v>
      </c>
      <c r="Q16" s="682">
        <f>P16</f>
        <v>45686</v>
      </c>
      <c r="R16" s="361">
        <f t="shared" si="10"/>
        <v>-21.714285714285722</v>
      </c>
      <c r="S16" s="362" t="str">
        <f t="shared" ca="1" si="3"/>
        <v>En tiempo</v>
      </c>
      <c r="T16" s="751">
        <v>1</v>
      </c>
      <c r="U16" s="363">
        <f t="shared" si="4"/>
        <v>0.5</v>
      </c>
      <c r="V16" s="364" t="str">
        <f>IF(R16&gt;O16,0%,IF(R16&lt;=0,"100%",1-(R16/O16)))</f>
        <v>100%</v>
      </c>
      <c r="W16" s="365" t="str">
        <f t="shared" si="0"/>
        <v>Cumple</v>
      </c>
      <c r="X16" s="139" t="s">
        <v>3149</v>
      </c>
      <c r="Y16" s="139" t="s">
        <v>933</v>
      </c>
      <c r="Z16" s="386">
        <f t="shared" si="6"/>
        <v>0.75</v>
      </c>
      <c r="AA16" s="143"/>
      <c r="AB16" s="143"/>
      <c r="AC16" s="386">
        <f t="shared" si="7"/>
        <v>0.75</v>
      </c>
      <c r="AD16" s="251"/>
    </row>
    <row r="17" spans="1:30" s="226" customFormat="1" ht="100.5" thickBot="1" x14ac:dyDescent="0.25">
      <c r="A17" s="143" t="s">
        <v>202</v>
      </c>
      <c r="B17" s="143" t="s">
        <v>53</v>
      </c>
      <c r="C17" s="143" t="s">
        <v>934</v>
      </c>
      <c r="D17" s="143" t="s">
        <v>935</v>
      </c>
      <c r="E17" s="143" t="s">
        <v>936</v>
      </c>
      <c r="F17" s="143" t="s">
        <v>937</v>
      </c>
      <c r="G17" s="143" t="s">
        <v>938</v>
      </c>
      <c r="H17" s="143">
        <v>1</v>
      </c>
      <c r="I17" s="143" t="s">
        <v>939</v>
      </c>
      <c r="J17" s="251" t="s">
        <v>865</v>
      </c>
      <c r="K17" s="251" t="s">
        <v>881</v>
      </c>
      <c r="L17" s="143" t="s">
        <v>940</v>
      </c>
      <c r="M17" s="480">
        <v>44866</v>
      </c>
      <c r="N17" s="480">
        <v>44910</v>
      </c>
      <c r="O17" s="360">
        <f t="shared" si="1"/>
        <v>6.2857142857142856</v>
      </c>
      <c r="P17" s="356">
        <v>45111</v>
      </c>
      <c r="Q17" s="356">
        <v>45109</v>
      </c>
      <c r="R17" s="361">
        <f t="shared" si="2"/>
        <v>28.714285714285715</v>
      </c>
      <c r="S17" s="362" t="str">
        <f t="shared" ca="1" si="3"/>
        <v>Alerta</v>
      </c>
      <c r="T17" s="357">
        <v>1</v>
      </c>
      <c r="U17" s="363">
        <f t="shared" si="4"/>
        <v>1</v>
      </c>
      <c r="V17" s="364">
        <f t="shared" si="5"/>
        <v>0</v>
      </c>
      <c r="W17" s="365" t="str">
        <f t="shared" si="0"/>
        <v>Incumple</v>
      </c>
      <c r="X17" s="139" t="s">
        <v>941</v>
      </c>
      <c r="Y17" s="139" t="s">
        <v>942</v>
      </c>
      <c r="Z17" s="386">
        <f t="shared" si="6"/>
        <v>0.5</v>
      </c>
      <c r="AA17" s="143"/>
      <c r="AB17" s="143"/>
      <c r="AC17" s="386">
        <f t="shared" si="7"/>
        <v>0.5</v>
      </c>
      <c r="AD17" s="251"/>
    </row>
    <row r="18" spans="1:30" s="226" customFormat="1" ht="271.5" thickBot="1" x14ac:dyDescent="0.25">
      <c r="A18" s="143" t="s">
        <v>202</v>
      </c>
      <c r="B18" s="143" t="s">
        <v>53</v>
      </c>
      <c r="C18" s="143" t="s">
        <v>943</v>
      </c>
      <c r="D18" s="143" t="s">
        <v>944</v>
      </c>
      <c r="E18" s="143" t="s">
        <v>945</v>
      </c>
      <c r="F18" s="143" t="s">
        <v>946</v>
      </c>
      <c r="G18" s="143" t="s">
        <v>947</v>
      </c>
      <c r="H18" s="143">
        <v>3</v>
      </c>
      <c r="I18" s="143" t="s">
        <v>948</v>
      </c>
      <c r="J18" s="251" t="s">
        <v>865</v>
      </c>
      <c r="K18" s="143" t="s">
        <v>215</v>
      </c>
      <c r="L18" s="143" t="s">
        <v>949</v>
      </c>
      <c r="M18" s="747">
        <v>44866</v>
      </c>
      <c r="N18" s="747">
        <v>45915</v>
      </c>
      <c r="O18" s="749">
        <f t="shared" si="1"/>
        <v>149.85714285714286</v>
      </c>
      <c r="P18" s="750">
        <v>45686</v>
      </c>
      <c r="Q18" s="682">
        <f>P18</f>
        <v>45686</v>
      </c>
      <c r="R18" s="361">
        <f>(Q18-M18)/7-O18</f>
        <v>-32.714285714285722</v>
      </c>
      <c r="S18" s="362" t="str">
        <f t="shared" ca="1" si="3"/>
        <v>En tiempo</v>
      </c>
      <c r="T18" s="751">
        <v>2.7</v>
      </c>
      <c r="U18" s="363">
        <f t="shared" si="4"/>
        <v>0.9</v>
      </c>
      <c r="V18" s="364" t="str">
        <f>IF(R18&gt;O18,0%,IF(R18&lt;=0,"100%",1-(R18/O18)))</f>
        <v>100%</v>
      </c>
      <c r="W18" s="365" t="str">
        <f t="shared" si="0"/>
        <v>Cumple</v>
      </c>
      <c r="X18" s="139" t="s">
        <v>3150</v>
      </c>
      <c r="Y18" s="139" t="s">
        <v>950</v>
      </c>
      <c r="Z18" s="386">
        <f t="shared" si="6"/>
        <v>0.95</v>
      </c>
      <c r="AA18" s="143"/>
      <c r="AB18" s="143"/>
      <c r="AC18" s="386">
        <f t="shared" si="7"/>
        <v>0.95</v>
      </c>
      <c r="AD18" s="251"/>
    </row>
    <row r="19" spans="1:30" s="226" customFormat="1" ht="126" customHeight="1" thickBot="1" x14ac:dyDescent="0.25">
      <c r="A19" s="143" t="s">
        <v>202</v>
      </c>
      <c r="B19" s="143" t="s">
        <v>53</v>
      </c>
      <c r="C19" s="143" t="s">
        <v>951</v>
      </c>
      <c r="D19" s="143" t="s">
        <v>952</v>
      </c>
      <c r="E19" s="143" t="s">
        <v>953</v>
      </c>
      <c r="F19" s="143" t="s">
        <v>954</v>
      </c>
      <c r="G19" s="143" t="s">
        <v>955</v>
      </c>
      <c r="H19" s="143">
        <v>1</v>
      </c>
      <c r="I19" s="143" t="s">
        <v>956</v>
      </c>
      <c r="J19" s="251" t="s">
        <v>87</v>
      </c>
      <c r="K19" s="251" t="s">
        <v>881</v>
      </c>
      <c r="L19" s="143" t="s">
        <v>957</v>
      </c>
      <c r="M19" s="480">
        <v>44866</v>
      </c>
      <c r="N19" s="480">
        <v>45230</v>
      </c>
      <c r="O19" s="360">
        <f t="shared" si="1"/>
        <v>52</v>
      </c>
      <c r="P19" s="356">
        <v>45111</v>
      </c>
      <c r="Q19" s="356">
        <v>45111</v>
      </c>
      <c r="R19" s="361">
        <f t="shared" si="2"/>
        <v>-17</v>
      </c>
      <c r="S19" s="362" t="str">
        <f t="shared" ca="1" si="3"/>
        <v>Alerta</v>
      </c>
      <c r="T19" s="357">
        <v>1</v>
      </c>
      <c r="U19" s="363">
        <f t="shared" si="4"/>
        <v>1</v>
      </c>
      <c r="V19" s="364" t="str">
        <f t="shared" si="5"/>
        <v>100%</v>
      </c>
      <c r="W19" s="365" t="str">
        <f t="shared" si="0"/>
        <v>Cumple</v>
      </c>
      <c r="X19" s="139" t="s">
        <v>958</v>
      </c>
      <c r="Y19" s="139" t="s">
        <v>959</v>
      </c>
      <c r="Z19" s="386">
        <f t="shared" si="6"/>
        <v>1</v>
      </c>
      <c r="AA19" s="143"/>
      <c r="AB19" s="143"/>
      <c r="AC19" s="386">
        <f t="shared" si="7"/>
        <v>1</v>
      </c>
      <c r="AD19" s="251"/>
    </row>
    <row r="20" spans="1:30" s="226" customFormat="1" ht="285.75" thickBot="1" x14ac:dyDescent="0.25">
      <c r="A20" s="143" t="s">
        <v>202</v>
      </c>
      <c r="B20" s="143" t="s">
        <v>53</v>
      </c>
      <c r="C20" s="143" t="s">
        <v>960</v>
      </c>
      <c r="D20" s="143" t="s">
        <v>961</v>
      </c>
      <c r="E20" s="143" t="s">
        <v>962</v>
      </c>
      <c r="F20" s="143" t="s">
        <v>963</v>
      </c>
      <c r="G20" s="143" t="s">
        <v>964</v>
      </c>
      <c r="H20" s="355">
        <v>1</v>
      </c>
      <c r="I20" s="143" t="s">
        <v>965</v>
      </c>
      <c r="J20" s="251" t="s">
        <v>865</v>
      </c>
      <c r="K20" s="143" t="s">
        <v>215</v>
      </c>
      <c r="L20" s="143" t="s">
        <v>966</v>
      </c>
      <c r="M20" s="747">
        <v>44866</v>
      </c>
      <c r="N20" s="747">
        <v>45733</v>
      </c>
      <c r="O20" s="749">
        <f t="shared" si="1"/>
        <v>123.85714285714286</v>
      </c>
      <c r="P20" s="750">
        <v>45686</v>
      </c>
      <c r="Q20" s="682">
        <f>P20</f>
        <v>45686</v>
      </c>
      <c r="R20" s="361">
        <f>(Q20-M20)/7-O20</f>
        <v>-6.7142857142857224</v>
      </c>
      <c r="S20" s="362" t="str">
        <f t="shared" ca="1" si="3"/>
        <v>Alerta</v>
      </c>
      <c r="T20" s="751">
        <v>0.9</v>
      </c>
      <c r="U20" s="363">
        <f t="shared" si="4"/>
        <v>0.9</v>
      </c>
      <c r="V20" s="364" t="str">
        <f>IF(R20&gt;O20,0%,IF(R20&lt;=0,"100%",1-(R20/O20)))</f>
        <v>100%</v>
      </c>
      <c r="W20" s="365" t="str">
        <f t="shared" si="0"/>
        <v>Cumple</v>
      </c>
      <c r="X20" s="139" t="s">
        <v>3151</v>
      </c>
      <c r="Y20" s="139" t="s">
        <v>3152</v>
      </c>
      <c r="Z20" s="386">
        <f t="shared" si="6"/>
        <v>0.95</v>
      </c>
      <c r="AA20" s="143"/>
      <c r="AB20" s="143"/>
      <c r="AC20" s="386">
        <f t="shared" si="7"/>
        <v>0.95</v>
      </c>
      <c r="AD20" s="251"/>
    </row>
    <row r="21" spans="1:30" s="226" customFormat="1" ht="186" thickBot="1" x14ac:dyDescent="0.25">
      <c r="A21" s="143" t="s">
        <v>202</v>
      </c>
      <c r="B21" s="143" t="s">
        <v>53</v>
      </c>
      <c r="C21" s="143" t="s">
        <v>967</v>
      </c>
      <c r="D21" s="143" t="s">
        <v>968</v>
      </c>
      <c r="E21" s="143" t="s">
        <v>969</v>
      </c>
      <c r="F21" s="143" t="s">
        <v>970</v>
      </c>
      <c r="G21" s="143" t="s">
        <v>971</v>
      </c>
      <c r="H21" s="355">
        <v>1</v>
      </c>
      <c r="I21" s="143" t="s">
        <v>972</v>
      </c>
      <c r="J21" s="251" t="s">
        <v>60</v>
      </c>
      <c r="K21" s="143" t="s">
        <v>215</v>
      </c>
      <c r="L21" s="143" t="s">
        <v>973</v>
      </c>
      <c r="M21" s="480">
        <v>44866</v>
      </c>
      <c r="N21" s="480">
        <v>45000</v>
      </c>
      <c r="O21" s="360">
        <f t="shared" si="1"/>
        <v>19.142857142857142</v>
      </c>
      <c r="P21" s="356">
        <v>45282</v>
      </c>
      <c r="Q21" s="356">
        <v>45282</v>
      </c>
      <c r="R21" s="361">
        <f t="shared" si="2"/>
        <v>40.285714285714292</v>
      </c>
      <c r="S21" s="362" t="str">
        <f t="shared" ca="1" si="3"/>
        <v>Alerta</v>
      </c>
      <c r="T21" s="357">
        <v>1</v>
      </c>
      <c r="U21" s="363">
        <f t="shared" si="4"/>
        <v>1</v>
      </c>
      <c r="V21" s="364">
        <f t="shared" si="5"/>
        <v>0</v>
      </c>
      <c r="W21" s="365" t="str">
        <f t="shared" si="0"/>
        <v>Incumple</v>
      </c>
      <c r="X21" s="139" t="s">
        <v>974</v>
      </c>
      <c r="Y21" s="139" t="s">
        <v>975</v>
      </c>
      <c r="Z21" s="386">
        <f t="shared" si="6"/>
        <v>0.5</v>
      </c>
      <c r="AA21" s="143"/>
      <c r="AB21" s="143"/>
      <c r="AC21" s="386">
        <f t="shared" si="7"/>
        <v>0.5</v>
      </c>
      <c r="AD21" s="251"/>
    </row>
    <row r="22" spans="1:30" s="226" customFormat="1" ht="271.5" thickBot="1" x14ac:dyDescent="0.25">
      <c r="A22" s="143" t="s">
        <v>202</v>
      </c>
      <c r="B22" s="143" t="s">
        <v>53</v>
      </c>
      <c r="C22" s="143" t="s">
        <v>976</v>
      </c>
      <c r="D22" s="143" t="s">
        <v>977</v>
      </c>
      <c r="E22" s="143" t="s">
        <v>978</v>
      </c>
      <c r="F22" s="143" t="s">
        <v>979</v>
      </c>
      <c r="G22" s="143" t="s">
        <v>980</v>
      </c>
      <c r="H22" s="143">
        <v>3</v>
      </c>
      <c r="I22" s="143" t="s">
        <v>981</v>
      </c>
      <c r="J22" s="251" t="s">
        <v>87</v>
      </c>
      <c r="K22" s="143" t="s">
        <v>215</v>
      </c>
      <c r="L22" s="143" t="s">
        <v>982</v>
      </c>
      <c r="M22" s="747">
        <v>44866</v>
      </c>
      <c r="N22" s="747">
        <v>45915</v>
      </c>
      <c r="O22" s="749">
        <f t="shared" si="1"/>
        <v>149.85714285714286</v>
      </c>
      <c r="P22" s="750">
        <v>45686</v>
      </c>
      <c r="Q22" s="682">
        <f t="shared" ref="Q22:Q27" si="11">P22</f>
        <v>45686</v>
      </c>
      <c r="R22" s="361">
        <f t="shared" ref="R22:R26" si="12">(Q22-M22)/7-O22</f>
        <v>-32.714285714285722</v>
      </c>
      <c r="S22" s="362" t="str">
        <f t="shared" ca="1" si="3"/>
        <v>En tiempo</v>
      </c>
      <c r="T22" s="751">
        <v>2.7</v>
      </c>
      <c r="U22" s="363">
        <f t="shared" si="4"/>
        <v>0.9</v>
      </c>
      <c r="V22" s="364" t="str">
        <f t="shared" ref="V22:V27" si="13">IF(R22&gt;O22,0%,IF(R22&lt;=0,"100%",1-(R22/O22)))</f>
        <v>100%</v>
      </c>
      <c r="W22" s="365" t="str">
        <f t="shared" si="0"/>
        <v>Cumple</v>
      </c>
      <c r="X22" s="139" t="s">
        <v>3153</v>
      </c>
      <c r="Y22" s="139" t="s">
        <v>983</v>
      </c>
      <c r="Z22" s="386">
        <f t="shared" si="6"/>
        <v>0.95</v>
      </c>
      <c r="AA22" s="143"/>
      <c r="AB22" s="143"/>
      <c r="AC22" s="386">
        <f t="shared" si="7"/>
        <v>0.95</v>
      </c>
      <c r="AD22" s="251"/>
    </row>
    <row r="23" spans="1:30" s="226" customFormat="1" ht="357" thickBot="1" x14ac:dyDescent="0.25">
      <c r="A23" s="143" t="s">
        <v>202</v>
      </c>
      <c r="B23" s="143" t="s">
        <v>53</v>
      </c>
      <c r="C23" s="143" t="s">
        <v>984</v>
      </c>
      <c r="D23" s="143" t="s">
        <v>985</v>
      </c>
      <c r="E23" s="143" t="s">
        <v>986</v>
      </c>
      <c r="F23" s="143" t="s">
        <v>987</v>
      </c>
      <c r="G23" s="143" t="s">
        <v>988</v>
      </c>
      <c r="H23" s="143">
        <v>1</v>
      </c>
      <c r="I23" s="143" t="s">
        <v>989</v>
      </c>
      <c r="J23" s="251" t="s">
        <v>87</v>
      </c>
      <c r="K23" s="143" t="s">
        <v>881</v>
      </c>
      <c r="L23" s="143" t="s">
        <v>990</v>
      </c>
      <c r="M23" s="747">
        <v>44866</v>
      </c>
      <c r="N23" s="747">
        <v>45083</v>
      </c>
      <c r="O23" s="749">
        <f t="shared" si="1"/>
        <v>31</v>
      </c>
      <c r="P23" s="750">
        <v>45686</v>
      </c>
      <c r="Q23" s="476">
        <v>45686</v>
      </c>
      <c r="R23" s="361">
        <f t="shared" si="12"/>
        <v>86.142857142857139</v>
      </c>
      <c r="S23" s="362" t="str">
        <f t="shared" ca="1" si="3"/>
        <v>Alerta</v>
      </c>
      <c r="T23" s="751">
        <v>1</v>
      </c>
      <c r="U23" s="363">
        <f t="shared" si="4"/>
        <v>1</v>
      </c>
      <c r="V23" s="364">
        <f t="shared" si="13"/>
        <v>0</v>
      </c>
      <c r="W23" s="365" t="str">
        <f t="shared" si="0"/>
        <v>Incumple</v>
      </c>
      <c r="X23" s="139" t="s">
        <v>991</v>
      </c>
      <c r="Y23" s="139" t="s">
        <v>3154</v>
      </c>
      <c r="Z23" s="386">
        <f t="shared" si="6"/>
        <v>0.5</v>
      </c>
      <c r="AA23" s="143"/>
      <c r="AB23" s="143"/>
      <c r="AC23" s="386">
        <f t="shared" si="7"/>
        <v>0.5</v>
      </c>
      <c r="AD23" s="251"/>
    </row>
    <row r="24" spans="1:30" s="226" customFormat="1" ht="285.75" thickBot="1" x14ac:dyDescent="0.25">
      <c r="A24" s="143" t="s">
        <v>202</v>
      </c>
      <c r="B24" s="143" t="s">
        <v>53</v>
      </c>
      <c r="C24" s="143" t="s">
        <v>992</v>
      </c>
      <c r="D24" s="143" t="s">
        <v>993</v>
      </c>
      <c r="E24" s="143" t="s">
        <v>994</v>
      </c>
      <c r="F24" s="143" t="s">
        <v>995</v>
      </c>
      <c r="G24" s="143" t="s">
        <v>996</v>
      </c>
      <c r="H24" s="143">
        <v>1</v>
      </c>
      <c r="I24" s="143" t="s">
        <v>997</v>
      </c>
      <c r="J24" s="251" t="s">
        <v>87</v>
      </c>
      <c r="K24" s="143" t="s">
        <v>881</v>
      </c>
      <c r="L24" s="143" t="s">
        <v>998</v>
      </c>
      <c r="M24" s="747">
        <v>44866</v>
      </c>
      <c r="N24" s="747">
        <v>45838</v>
      </c>
      <c r="O24" s="749">
        <f t="shared" si="1"/>
        <v>138.85714285714286</v>
      </c>
      <c r="P24" s="750">
        <v>45686</v>
      </c>
      <c r="Q24" s="682">
        <f t="shared" si="11"/>
        <v>45686</v>
      </c>
      <c r="R24" s="361">
        <f t="shared" si="12"/>
        <v>-21.714285714285722</v>
      </c>
      <c r="S24" s="362" t="str">
        <f t="shared" ca="1" si="3"/>
        <v>En tiempo</v>
      </c>
      <c r="T24" s="751">
        <v>0.5</v>
      </c>
      <c r="U24" s="363">
        <f t="shared" si="4"/>
        <v>0.5</v>
      </c>
      <c r="V24" s="364" t="str">
        <f t="shared" si="13"/>
        <v>100%</v>
      </c>
      <c r="W24" s="365" t="str">
        <f t="shared" si="0"/>
        <v>Cumple</v>
      </c>
      <c r="X24" s="139" t="s">
        <v>999</v>
      </c>
      <c r="Y24" s="139" t="s">
        <v>3155</v>
      </c>
      <c r="Z24" s="386">
        <f t="shared" si="6"/>
        <v>0.75</v>
      </c>
      <c r="AA24" s="143"/>
      <c r="AB24" s="143"/>
      <c r="AC24" s="386">
        <f t="shared" si="7"/>
        <v>0.75</v>
      </c>
      <c r="AD24" s="251"/>
    </row>
    <row r="25" spans="1:30" s="226" customFormat="1" ht="200.25" thickBot="1" x14ac:dyDescent="0.25">
      <c r="A25" s="143" t="s">
        <v>202</v>
      </c>
      <c r="B25" s="143" t="s">
        <v>53</v>
      </c>
      <c r="C25" s="143" t="s">
        <v>1000</v>
      </c>
      <c r="D25" s="143" t="s">
        <v>1001</v>
      </c>
      <c r="E25" s="143" t="s">
        <v>1002</v>
      </c>
      <c r="F25" s="143" t="s">
        <v>1003</v>
      </c>
      <c r="G25" s="143" t="s">
        <v>1004</v>
      </c>
      <c r="H25" s="143">
        <v>2</v>
      </c>
      <c r="I25" s="143" t="s">
        <v>1005</v>
      </c>
      <c r="J25" s="251" t="s">
        <v>60</v>
      </c>
      <c r="K25" s="143" t="s">
        <v>215</v>
      </c>
      <c r="L25" s="143" t="s">
        <v>1006</v>
      </c>
      <c r="M25" s="747">
        <v>44866</v>
      </c>
      <c r="N25" s="747">
        <v>46011</v>
      </c>
      <c r="O25" s="749">
        <f t="shared" si="1"/>
        <v>163.57142857142858</v>
      </c>
      <c r="P25" s="750">
        <v>45686</v>
      </c>
      <c r="Q25" s="682">
        <f t="shared" si="11"/>
        <v>45686</v>
      </c>
      <c r="R25" s="361">
        <f t="shared" si="12"/>
        <v>-46.428571428571445</v>
      </c>
      <c r="S25" s="362" t="str">
        <f t="shared" ca="1" si="3"/>
        <v>En tiempo</v>
      </c>
      <c r="T25" s="751">
        <v>1</v>
      </c>
      <c r="U25" s="363">
        <f t="shared" si="4"/>
        <v>0.5</v>
      </c>
      <c r="V25" s="364" t="str">
        <f t="shared" si="13"/>
        <v>100%</v>
      </c>
      <c r="W25" s="365" t="str">
        <f t="shared" si="0"/>
        <v>Cumple</v>
      </c>
      <c r="X25" s="139" t="s">
        <v>1007</v>
      </c>
      <c r="Y25" s="139" t="s">
        <v>3156</v>
      </c>
      <c r="Z25" s="386">
        <f t="shared" si="6"/>
        <v>0.75</v>
      </c>
      <c r="AA25" s="143"/>
      <c r="AB25" s="143"/>
      <c r="AC25" s="386">
        <f t="shared" si="7"/>
        <v>0.75</v>
      </c>
      <c r="AD25" s="251"/>
    </row>
    <row r="26" spans="1:30" s="226" customFormat="1" ht="243" thickBot="1" x14ac:dyDescent="0.25">
      <c r="A26" s="251" t="s">
        <v>202</v>
      </c>
      <c r="B26" s="251" t="s">
        <v>53</v>
      </c>
      <c r="C26" s="143" t="s">
        <v>1008</v>
      </c>
      <c r="D26" s="143" t="s">
        <v>1009</v>
      </c>
      <c r="E26" s="143" t="s">
        <v>1010</v>
      </c>
      <c r="F26" s="143" t="s">
        <v>1011</v>
      </c>
      <c r="G26" s="143" t="s">
        <v>1012</v>
      </c>
      <c r="H26" s="251">
        <v>2</v>
      </c>
      <c r="I26" s="143" t="s">
        <v>1013</v>
      </c>
      <c r="J26" s="251" t="s">
        <v>60</v>
      </c>
      <c r="K26" s="251" t="s">
        <v>881</v>
      </c>
      <c r="L26" s="143" t="s">
        <v>1014</v>
      </c>
      <c r="M26" s="747">
        <v>44866</v>
      </c>
      <c r="N26" s="747">
        <v>45838</v>
      </c>
      <c r="O26" s="749">
        <f t="shared" si="1"/>
        <v>138.85714285714286</v>
      </c>
      <c r="P26" s="750">
        <v>45686</v>
      </c>
      <c r="Q26" s="682">
        <f t="shared" si="11"/>
        <v>45686</v>
      </c>
      <c r="R26" s="361">
        <f t="shared" si="12"/>
        <v>-21.714285714285722</v>
      </c>
      <c r="S26" s="362" t="str">
        <f t="shared" ca="1" si="3"/>
        <v>En tiempo</v>
      </c>
      <c r="T26" s="751">
        <v>0</v>
      </c>
      <c r="U26" s="363">
        <f t="shared" si="4"/>
        <v>0</v>
      </c>
      <c r="V26" s="364" t="str">
        <f t="shared" si="13"/>
        <v>100%</v>
      </c>
      <c r="W26" s="365" t="str">
        <f t="shared" si="0"/>
        <v>Cumple</v>
      </c>
      <c r="X26" s="139"/>
      <c r="Y26" s="139" t="s">
        <v>3157</v>
      </c>
      <c r="Z26" s="386">
        <f t="shared" si="6"/>
        <v>0.5</v>
      </c>
      <c r="AA26" s="143"/>
      <c r="AB26" s="143"/>
      <c r="AC26" s="386">
        <f t="shared" si="7"/>
        <v>0.5</v>
      </c>
      <c r="AD26" s="251"/>
    </row>
    <row r="27" spans="1:30" s="226" customFormat="1" ht="282" customHeight="1" thickBot="1" x14ac:dyDescent="0.25">
      <c r="A27" s="251" t="s">
        <v>202</v>
      </c>
      <c r="B27" s="251" t="s">
        <v>53</v>
      </c>
      <c r="C27" s="143" t="s">
        <v>1015</v>
      </c>
      <c r="D27" s="143" t="s">
        <v>1016</v>
      </c>
      <c r="E27" s="143" t="s">
        <v>1017</v>
      </c>
      <c r="F27" s="143" t="s">
        <v>1018</v>
      </c>
      <c r="G27" s="143" t="s">
        <v>1019</v>
      </c>
      <c r="H27" s="251">
        <v>1</v>
      </c>
      <c r="I27" s="143" t="s">
        <v>1020</v>
      </c>
      <c r="J27" s="251" t="s">
        <v>60</v>
      </c>
      <c r="K27" s="251" t="s">
        <v>215</v>
      </c>
      <c r="L27" s="143" t="s">
        <v>1019</v>
      </c>
      <c r="M27" s="747">
        <v>44866</v>
      </c>
      <c r="N27" s="747">
        <v>44956</v>
      </c>
      <c r="O27" s="749">
        <f t="shared" si="1"/>
        <v>12.857142857142858</v>
      </c>
      <c r="P27" s="750">
        <v>45686</v>
      </c>
      <c r="Q27" s="682">
        <f t="shared" si="11"/>
        <v>45686</v>
      </c>
      <c r="R27" s="361">
        <f>(Q27-M27)/7-O27</f>
        <v>104.28571428571428</v>
      </c>
      <c r="S27" s="362" t="str">
        <f t="shared" ca="1" si="3"/>
        <v>Alerta</v>
      </c>
      <c r="T27" s="751">
        <v>0.9</v>
      </c>
      <c r="U27" s="363">
        <f t="shared" si="4"/>
        <v>0.9</v>
      </c>
      <c r="V27" s="364">
        <f t="shared" si="13"/>
        <v>0</v>
      </c>
      <c r="W27" s="365" t="str">
        <f t="shared" si="0"/>
        <v>Incumple</v>
      </c>
      <c r="X27" s="139" t="s">
        <v>1007</v>
      </c>
      <c r="Y27" s="139" t="s">
        <v>3158</v>
      </c>
      <c r="Z27" s="386">
        <f t="shared" si="6"/>
        <v>0.45</v>
      </c>
      <c r="AA27" s="143"/>
      <c r="AB27" s="143"/>
      <c r="AC27" s="386">
        <f t="shared" si="7"/>
        <v>0.45</v>
      </c>
      <c r="AD27" s="251"/>
    </row>
    <row r="28" spans="1:30" ht="15.75" thickBot="1" x14ac:dyDescent="0.25">
      <c r="G28" s="156" t="s">
        <v>314</v>
      </c>
      <c r="H28" s="187">
        <f>SUM(H7:H27)</f>
        <v>30</v>
      </c>
      <c r="Q28" s="922" t="s">
        <v>195</v>
      </c>
      <c r="R28" s="922"/>
      <c r="S28" s="922"/>
      <c r="T28" s="187">
        <f>SUM(T9:T27)</f>
        <v>21.15</v>
      </c>
      <c r="U28" s="111">
        <f>AVERAGE(U7:U27)</f>
        <v>0.78809523809523818</v>
      </c>
      <c r="V28" s="189" t="s">
        <v>44</v>
      </c>
      <c r="W28" s="190">
        <f>(COUNTIF(W7:W27,"Cumple"))/COUNTA(W7:W27)</f>
        <v>0.7142857142857143</v>
      </c>
      <c r="Z28" s="922" t="s">
        <v>195</v>
      </c>
      <c r="AA28" s="922"/>
      <c r="AB28" s="922"/>
      <c r="AC28" s="190"/>
      <c r="AD28" s="61"/>
    </row>
  </sheetData>
  <autoFilter ref="A6:AD28" xr:uid="{D2C6733B-E0B2-48EB-8940-3FD933212DCC}"/>
  <mergeCells count="29">
    <mergeCell ref="O1:P2"/>
    <mergeCell ref="Q1:Y2"/>
    <mergeCell ref="W3:X3"/>
    <mergeCell ref="Z1:AD4"/>
    <mergeCell ref="A2:B2"/>
    <mergeCell ref="C2:F2"/>
    <mergeCell ref="G2:H2"/>
    <mergeCell ref="I2:N2"/>
    <mergeCell ref="Q3:V3"/>
    <mergeCell ref="A1:B1"/>
    <mergeCell ref="C1:N1"/>
    <mergeCell ref="A3:B3"/>
    <mergeCell ref="C3:F3"/>
    <mergeCell ref="G3:H3"/>
    <mergeCell ref="I3:N3"/>
    <mergeCell ref="O3:P3"/>
    <mergeCell ref="T4:U4"/>
    <mergeCell ref="V4:Y4"/>
    <mergeCell ref="A4:B4"/>
    <mergeCell ref="C4:F4"/>
    <mergeCell ref="G4:H4"/>
    <mergeCell ref="I4:N4"/>
    <mergeCell ref="O4:P4"/>
    <mergeCell ref="Q4:S4"/>
    <mergeCell ref="Z28:AB28"/>
    <mergeCell ref="Q28:S28"/>
    <mergeCell ref="A5:N5"/>
    <mergeCell ref="O5:Y5"/>
    <mergeCell ref="Z5:AD5"/>
  </mergeCells>
  <conditionalFormatting sqref="R7:R27">
    <cfRule type="cellIs" dxfId="334" priority="32" operator="greaterThan">
      <formula>0</formula>
    </cfRule>
    <cfRule type="cellIs" dxfId="333" priority="33" operator="lessThan">
      <formula>0</formula>
    </cfRule>
  </conditionalFormatting>
  <conditionalFormatting sqref="S7:S27">
    <cfRule type="containsText" dxfId="332" priority="30" operator="containsText" text="Alerta">
      <formula>NOT(ISERROR(SEARCH("Alerta",S7)))</formula>
    </cfRule>
    <cfRule type="containsText" dxfId="331" priority="31" operator="containsText" text="En tiempo">
      <formula>NOT(ISERROR(SEARCH("En tiempo",S7)))</formula>
    </cfRule>
  </conditionalFormatting>
  <conditionalFormatting sqref="U7:U28">
    <cfRule type="cellIs" dxfId="330" priority="9" stopIfTrue="1" operator="between">
      <formula>0.8</formula>
      <formula>1</formula>
    </cfRule>
    <cfRule type="cellIs" dxfId="329" priority="10" stopIfTrue="1" operator="between">
      <formula>0.5</formula>
      <formula>0.79</formula>
    </cfRule>
    <cfRule type="cellIs" dxfId="328" priority="11" stopIfTrue="1" operator="between">
      <formula>0.3</formula>
      <formula>0.49</formula>
    </cfRule>
    <cfRule type="cellIs" dxfId="327" priority="12" stopIfTrue="1" operator="between">
      <formula>0</formula>
      <formula>0.29</formula>
    </cfRule>
  </conditionalFormatting>
  <conditionalFormatting sqref="V7:V27">
    <cfRule type="cellIs" dxfId="326" priority="24" operator="between">
      <formula>0.19</formula>
      <formula>0</formula>
    </cfRule>
    <cfRule type="cellIs" dxfId="325" priority="25" operator="between">
      <formula>0.49</formula>
      <formula>0.2</formula>
    </cfRule>
    <cfRule type="cellIs" dxfId="324" priority="26" operator="between">
      <formula>0.89</formula>
      <formula>0.5</formula>
    </cfRule>
    <cfRule type="cellIs" dxfId="323" priority="27" operator="between">
      <formula>1</formula>
      <formula>0.9</formula>
    </cfRule>
  </conditionalFormatting>
  <conditionalFormatting sqref="W7:W27">
    <cfRule type="containsText" dxfId="322" priority="28" operator="containsText" text="Incumple">
      <formula>NOT(ISERROR(SEARCH("Incumple",W7)))</formula>
    </cfRule>
    <cfRule type="containsText" dxfId="321" priority="29" operator="containsText" text="Cumple">
      <formula>NOT(ISERROR(SEARCH("Cumple",W7)))</formula>
    </cfRule>
  </conditionalFormatting>
  <conditionalFormatting sqref="W28">
    <cfRule type="cellIs" dxfId="320" priority="16" operator="between">
      <formula>0.19</formula>
      <formula>0</formula>
    </cfRule>
    <cfRule type="cellIs" dxfId="319" priority="17" operator="between">
      <formula>0.49</formula>
      <formula>0.2</formula>
    </cfRule>
    <cfRule type="cellIs" dxfId="318" priority="18" operator="between">
      <formula>0.89</formula>
      <formula>0.5</formula>
    </cfRule>
    <cfRule type="cellIs" dxfId="317" priority="19" operator="between">
      <formula>1</formula>
      <formula>0.9</formula>
    </cfRule>
  </conditionalFormatting>
  <conditionalFormatting sqref="Z7:Z27">
    <cfRule type="cellIs" dxfId="316" priority="5" operator="between">
      <formula>0.19</formula>
      <formula>0</formula>
    </cfRule>
    <cfRule type="cellIs" dxfId="315" priority="6" operator="between">
      <formula>0.49</formula>
      <formula>0.2</formula>
    </cfRule>
    <cfRule type="cellIs" dxfId="314" priority="7" operator="between">
      <formula>0.89</formula>
      <formula>0.5</formula>
    </cfRule>
    <cfRule type="cellIs" dxfId="313" priority="8" operator="between">
      <formula>1</formula>
      <formula>0.9</formula>
    </cfRule>
  </conditionalFormatting>
  <conditionalFormatting sqref="AC7:AC27">
    <cfRule type="cellIs" dxfId="312" priority="1" operator="between">
      <formula>0.19</formula>
      <formula>0</formula>
    </cfRule>
    <cfRule type="cellIs" dxfId="311" priority="2" operator="between">
      <formula>0.49</formula>
      <formula>0.2</formula>
    </cfRule>
    <cfRule type="cellIs" dxfId="310" priority="3" operator="between">
      <formula>0.89</formula>
      <formula>0.5</formula>
    </cfRule>
    <cfRule type="cellIs" dxfId="309" priority="4" operator="between">
      <formula>1</formula>
      <formula>0.9</formula>
    </cfRule>
  </conditionalFormatting>
  <conditionalFormatting sqref="AC28">
    <cfRule type="cellIs" dxfId="308" priority="13" operator="between">
      <formula>0.3</formula>
      <formula>0</formula>
    </cfRule>
    <cfRule type="cellIs" dxfId="307" priority="14" operator="between">
      <formula>0.6999</formula>
      <formula>0.3111</formula>
    </cfRule>
    <cfRule type="cellIs" dxfId="306" priority="15" operator="between">
      <formula>1</formula>
      <formula>0.7</formula>
    </cfRule>
  </conditionalFormatting>
  <hyperlinks>
    <hyperlink ref="X12" r:id="rId1" xr:uid="{810D9EA0-BB52-45C2-B98A-CE5EAA1102BC}"/>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AV33"/>
  <sheetViews>
    <sheetView topLeftCell="N1" zoomScale="82" zoomScaleNormal="82" zoomScaleSheetLayoutView="49" workbookViewId="0">
      <selection activeCell="X7" sqref="X7"/>
    </sheetView>
  </sheetViews>
  <sheetFormatPr baseColWidth="10" defaultColWidth="17.5703125" defaultRowHeight="15" x14ac:dyDescent="0.2"/>
  <cols>
    <col min="1" max="1" width="12.140625" style="79" customWidth="1"/>
    <col min="2" max="2" width="11.42578125" style="79" customWidth="1"/>
    <col min="3" max="3" width="46.28515625" style="79" customWidth="1"/>
    <col min="4" max="4" width="44.140625" style="79" customWidth="1"/>
    <col min="5" max="5" width="36.7109375" style="79" customWidth="1"/>
    <col min="6" max="6" width="40.140625" style="79" customWidth="1"/>
    <col min="7" max="7" width="32.85546875" style="79" customWidth="1"/>
    <col min="8" max="8" width="13" style="76" customWidth="1"/>
    <col min="9" max="9" width="26.5703125" style="76" customWidth="1"/>
    <col min="10" max="10" width="16.140625" style="76" customWidth="1"/>
    <col min="11" max="11" width="21.42578125" style="76" customWidth="1"/>
    <col min="12" max="12" width="20.5703125" style="76" customWidth="1"/>
    <col min="13" max="13" width="12.7109375" style="76" customWidth="1"/>
    <col min="14" max="14" width="14" style="76" customWidth="1"/>
    <col min="15" max="15" width="12" style="75" customWidth="1"/>
    <col min="16" max="16" width="15.42578125" style="75" customWidth="1"/>
    <col min="17" max="17" width="13.140625" style="75" customWidth="1"/>
    <col min="18" max="18" width="11.5703125" style="75" customWidth="1"/>
    <col min="19" max="19" width="11.140625" style="75" customWidth="1"/>
    <col min="20" max="20" width="15" style="75" customWidth="1"/>
    <col min="21" max="21" width="16.5703125" style="80" customWidth="1"/>
    <col min="22" max="22" width="14.28515625" style="75" customWidth="1"/>
    <col min="23" max="23" width="16.7109375" style="75" customWidth="1"/>
    <col min="24" max="24" width="56.85546875" style="75" customWidth="1"/>
    <col min="25" max="25" width="59.85546875" style="75" customWidth="1"/>
    <col min="26" max="26" width="12.28515625" style="75" customWidth="1"/>
    <col min="27" max="27" width="13.42578125" style="75" customWidth="1"/>
    <col min="28" max="29" width="14.140625" style="75" customWidth="1"/>
    <col min="30" max="30" width="72.42578125" style="75" customWidth="1"/>
    <col min="42" max="42" width="28.5703125" hidden="1" customWidth="1"/>
    <col min="43" max="43" width="42" hidden="1" customWidth="1"/>
    <col min="44" max="44" width="0" hidden="1" customWidth="1"/>
    <col min="45" max="45" width="51.42578125" hidden="1" customWidth="1"/>
    <col min="46" max="46" width="8.5703125" hidden="1" customWidth="1"/>
    <col min="47" max="47" width="7.140625" hidden="1" customWidth="1"/>
    <col min="48" max="48" width="20.85546875" hidden="1" customWidth="1"/>
    <col min="49" max="49" width="0" hidden="1" customWidth="1"/>
    <col min="50" max="50" width="22.42578125" customWidth="1"/>
  </cols>
  <sheetData>
    <row r="1" spans="1:30" ht="105.6" customHeight="1" thickBot="1" x14ac:dyDescent="0.25">
      <c r="A1" s="861" t="s">
        <v>0</v>
      </c>
      <c r="B1" s="861"/>
      <c r="C1" s="861" t="s">
        <v>1</v>
      </c>
      <c r="D1" s="861"/>
      <c r="E1" s="861"/>
      <c r="F1" s="861"/>
      <c r="G1" s="861"/>
      <c r="H1" s="861"/>
      <c r="I1" s="861"/>
      <c r="J1" s="861"/>
      <c r="K1" s="861"/>
      <c r="L1" s="861"/>
      <c r="M1" s="861"/>
      <c r="N1" s="861"/>
      <c r="O1" s="861"/>
      <c r="P1" s="861"/>
      <c r="Q1" s="861" t="s">
        <v>2</v>
      </c>
      <c r="R1" s="861"/>
      <c r="S1" s="861"/>
      <c r="T1" s="861"/>
      <c r="U1" s="861"/>
      <c r="V1" s="861"/>
      <c r="W1" s="861"/>
      <c r="X1" s="861"/>
      <c r="Y1" s="861"/>
      <c r="Z1" s="861" t="s">
        <v>2</v>
      </c>
      <c r="AA1" s="861"/>
      <c r="AB1" s="861"/>
      <c r="AC1" s="861"/>
      <c r="AD1" s="861"/>
    </row>
    <row r="2" spans="1:30" ht="20.100000000000001" customHeight="1" thickBot="1" x14ac:dyDescent="0.25">
      <c r="A2" s="861" t="s">
        <v>197</v>
      </c>
      <c r="B2" s="861"/>
      <c r="C2" s="861" t="s">
        <v>4</v>
      </c>
      <c r="D2" s="909"/>
      <c r="E2" s="909"/>
      <c r="F2" s="909"/>
      <c r="G2" s="861" t="s">
        <v>5</v>
      </c>
      <c r="H2" s="861"/>
      <c r="I2" s="861" t="s">
        <v>6</v>
      </c>
      <c r="J2" s="861"/>
      <c r="K2" s="861"/>
      <c r="L2" s="861"/>
      <c r="M2" s="861"/>
      <c r="N2" s="861"/>
      <c r="O2" s="861"/>
      <c r="P2" s="861"/>
      <c r="Q2" s="861"/>
      <c r="R2" s="861"/>
      <c r="S2" s="861"/>
      <c r="T2" s="861"/>
      <c r="U2" s="861"/>
      <c r="V2" s="861"/>
      <c r="W2" s="861"/>
      <c r="X2" s="861"/>
      <c r="Y2" s="861"/>
      <c r="Z2" s="861"/>
      <c r="AA2" s="861"/>
      <c r="AB2" s="861"/>
      <c r="AC2" s="861"/>
      <c r="AD2" s="861"/>
    </row>
    <row r="3" spans="1:30" ht="25.5" customHeight="1" x14ac:dyDescent="0.2">
      <c r="A3" s="907" t="s">
        <v>7</v>
      </c>
      <c r="B3" s="907"/>
      <c r="C3" s="861" t="s">
        <v>1021</v>
      </c>
      <c r="D3" s="861"/>
      <c r="E3" s="861"/>
      <c r="F3" s="861"/>
      <c r="G3" s="907" t="s">
        <v>9</v>
      </c>
      <c r="H3" s="907"/>
      <c r="I3" s="908" t="s">
        <v>1022</v>
      </c>
      <c r="J3" s="861"/>
      <c r="K3" s="861"/>
      <c r="L3" s="861"/>
      <c r="M3" s="861"/>
      <c r="N3" s="861"/>
      <c r="O3" s="907" t="s">
        <v>10</v>
      </c>
      <c r="P3" s="907"/>
      <c r="Q3" s="908">
        <v>45679</v>
      </c>
      <c r="R3" s="908"/>
      <c r="S3" s="908"/>
      <c r="T3" s="908"/>
      <c r="U3" s="908"/>
      <c r="V3" s="908"/>
      <c r="W3" s="907" t="s">
        <v>11</v>
      </c>
      <c r="X3" s="907"/>
      <c r="Y3" s="164" t="s">
        <v>385</v>
      </c>
      <c r="Z3" s="861"/>
      <c r="AA3" s="861"/>
      <c r="AB3" s="861"/>
      <c r="AC3" s="861"/>
      <c r="AD3" s="861"/>
    </row>
    <row r="4" spans="1:30" ht="25.5" customHeight="1" x14ac:dyDescent="0.2">
      <c r="A4" s="907" t="s">
        <v>13</v>
      </c>
      <c r="B4" s="907"/>
      <c r="C4" s="861" t="s">
        <v>1023</v>
      </c>
      <c r="D4" s="861"/>
      <c r="E4" s="861"/>
      <c r="F4" s="861"/>
      <c r="G4" s="907" t="s">
        <v>15</v>
      </c>
      <c r="H4" s="907"/>
      <c r="I4" s="908">
        <v>44620</v>
      </c>
      <c r="J4" s="908"/>
      <c r="K4" s="908"/>
      <c r="L4" s="908"/>
      <c r="M4" s="908"/>
      <c r="N4" s="908"/>
      <c r="O4" s="907" t="s">
        <v>16</v>
      </c>
      <c r="P4" s="907"/>
      <c r="Q4" s="861" t="s">
        <v>491</v>
      </c>
      <c r="R4" s="861"/>
      <c r="S4" s="861"/>
      <c r="T4" s="905" t="s">
        <v>18</v>
      </c>
      <c r="U4" s="905"/>
      <c r="V4" s="861" t="s">
        <v>1024</v>
      </c>
      <c r="W4" s="861"/>
      <c r="X4" s="861"/>
      <c r="Y4" s="861"/>
      <c r="Z4" s="861"/>
      <c r="AA4" s="861"/>
      <c r="AB4" s="861"/>
      <c r="AC4" s="861"/>
      <c r="AD4" s="861"/>
    </row>
    <row r="5" spans="1:30" ht="28.5" customHeight="1" thickBot="1" x14ac:dyDescent="0.25">
      <c r="A5" s="848" t="s">
        <v>19</v>
      </c>
      <c r="B5" s="849"/>
      <c r="C5" s="849"/>
      <c r="D5" s="849"/>
      <c r="E5" s="849"/>
      <c r="F5" s="849"/>
      <c r="G5" s="849"/>
      <c r="H5" s="849"/>
      <c r="I5" s="849"/>
      <c r="J5" s="849"/>
      <c r="K5" s="849"/>
      <c r="L5" s="849"/>
      <c r="M5" s="849"/>
      <c r="N5" s="850"/>
      <c r="O5" s="851" t="s">
        <v>20</v>
      </c>
      <c r="P5" s="852"/>
      <c r="Q5" s="852"/>
      <c r="R5" s="852"/>
      <c r="S5" s="852"/>
      <c r="T5" s="852"/>
      <c r="U5" s="852"/>
      <c r="V5" s="852"/>
      <c r="W5" s="852"/>
      <c r="X5" s="852"/>
      <c r="Y5" s="853"/>
      <c r="Z5" s="854" t="s">
        <v>21</v>
      </c>
      <c r="AA5" s="855"/>
      <c r="AB5" s="855"/>
      <c r="AC5" s="855"/>
      <c r="AD5" s="856"/>
    </row>
    <row r="6" spans="1:30" ht="68.25" customHeight="1" thickBot="1" x14ac:dyDescent="0.25">
      <c r="A6" s="165" t="s">
        <v>22</v>
      </c>
      <c r="B6" s="165" t="s">
        <v>23</v>
      </c>
      <c r="C6" s="165" t="s">
        <v>24</v>
      </c>
      <c r="D6" s="165" t="s">
        <v>25</v>
      </c>
      <c r="E6" s="165" t="s">
        <v>26</v>
      </c>
      <c r="F6" s="165" t="s">
        <v>27</v>
      </c>
      <c r="G6" s="165" t="s">
        <v>28</v>
      </c>
      <c r="H6" s="165" t="s">
        <v>29</v>
      </c>
      <c r="I6" s="165" t="s">
        <v>30</v>
      </c>
      <c r="J6" s="165" t="s">
        <v>31</v>
      </c>
      <c r="K6" s="165" t="s">
        <v>32</v>
      </c>
      <c r="L6" s="165" t="s">
        <v>33</v>
      </c>
      <c r="M6" s="165" t="s">
        <v>34</v>
      </c>
      <c r="N6" s="165" t="s">
        <v>35</v>
      </c>
      <c r="O6" s="166" t="s">
        <v>36</v>
      </c>
      <c r="P6" s="166" t="s">
        <v>37</v>
      </c>
      <c r="Q6" s="166" t="s">
        <v>38</v>
      </c>
      <c r="R6" s="166" t="s">
        <v>39</v>
      </c>
      <c r="S6" s="166" t="s">
        <v>40</v>
      </c>
      <c r="T6" s="166" t="s">
        <v>41</v>
      </c>
      <c r="U6" s="166" t="s">
        <v>42</v>
      </c>
      <c r="V6" s="166" t="s">
        <v>43</v>
      </c>
      <c r="W6" s="166" t="s">
        <v>44</v>
      </c>
      <c r="X6" s="166" t="s">
        <v>45</v>
      </c>
      <c r="Y6" s="166" t="s">
        <v>46</v>
      </c>
      <c r="Z6" s="167" t="s">
        <v>47</v>
      </c>
      <c r="AA6" s="167" t="s">
        <v>48</v>
      </c>
      <c r="AB6" s="167" t="s">
        <v>49</v>
      </c>
      <c r="AC6" s="167" t="s">
        <v>50</v>
      </c>
      <c r="AD6" s="167" t="s">
        <v>51</v>
      </c>
    </row>
    <row r="7" spans="1:30" ht="156" customHeight="1" thickBot="1" x14ac:dyDescent="0.25">
      <c r="A7" s="943" t="s">
        <v>52</v>
      </c>
      <c r="B7" s="943" t="s">
        <v>53</v>
      </c>
      <c r="C7" s="941" t="s">
        <v>1025</v>
      </c>
      <c r="D7" s="951" t="s">
        <v>1026</v>
      </c>
      <c r="E7" s="951" t="s">
        <v>1027</v>
      </c>
      <c r="F7" s="498" t="s">
        <v>1028</v>
      </c>
      <c r="G7" s="498" t="s">
        <v>1029</v>
      </c>
      <c r="H7" s="499">
        <v>1</v>
      </c>
      <c r="I7" s="500" t="s">
        <v>1030</v>
      </c>
      <c r="J7" s="500" t="s">
        <v>865</v>
      </c>
      <c r="K7" s="500" t="s">
        <v>61</v>
      </c>
      <c r="L7" s="500" t="s">
        <v>1031</v>
      </c>
      <c r="M7" s="501">
        <v>44432</v>
      </c>
      <c r="N7" s="501">
        <v>44620</v>
      </c>
      <c r="O7" s="168">
        <f>(N7-M7)/7</f>
        <v>26.857142857142858</v>
      </c>
      <c r="P7" s="501">
        <v>45107</v>
      </c>
      <c r="Q7" s="501">
        <v>45107</v>
      </c>
      <c r="R7" s="169">
        <f>(Q7-M7)/7-O7</f>
        <v>69.571428571428569</v>
      </c>
      <c r="S7" s="170" t="str">
        <f ca="1">IF((N7-TODAY())/7&gt;=0,"En tiempo","Alerta")</f>
        <v>Alerta</v>
      </c>
      <c r="T7" s="171">
        <v>1</v>
      </c>
      <c r="U7" s="118">
        <f>T7/H7</f>
        <v>1</v>
      </c>
      <c r="V7" s="172">
        <f>IF(R7&gt;O7,0%,IF(R7&lt;=0,"100%",1-(R7/O7)))</f>
        <v>0</v>
      </c>
      <c r="W7" s="173" t="str">
        <f>IF(Q7&lt;=N7,"Cumple","Incumple")</f>
        <v>Incumple</v>
      </c>
      <c r="X7" s="143" t="s">
        <v>1032</v>
      </c>
      <c r="Y7" s="143" t="s">
        <v>1033</v>
      </c>
      <c r="Z7" s="172">
        <f>(U7+V7)/2</f>
        <v>0.5</v>
      </c>
      <c r="AA7" s="174">
        <v>1</v>
      </c>
      <c r="AB7" s="174">
        <v>0.8</v>
      </c>
      <c r="AC7" s="175">
        <f>AVERAGE(Z7:AB7)</f>
        <v>0.76666666666666661</v>
      </c>
      <c r="AD7" s="176" t="s">
        <v>1034</v>
      </c>
    </row>
    <row r="8" spans="1:30" ht="192" customHeight="1" thickBot="1" x14ac:dyDescent="0.25">
      <c r="A8" s="944"/>
      <c r="B8" s="944"/>
      <c r="C8" s="942"/>
      <c r="D8" s="951"/>
      <c r="E8" s="951"/>
      <c r="F8" s="498" t="s">
        <v>1035</v>
      </c>
      <c r="G8" s="498" t="s">
        <v>1029</v>
      </c>
      <c r="H8" s="499">
        <v>1</v>
      </c>
      <c r="I8" s="500" t="s">
        <v>1036</v>
      </c>
      <c r="J8" s="500" t="s">
        <v>865</v>
      </c>
      <c r="K8" s="500" t="s">
        <v>61</v>
      </c>
      <c r="L8" s="500" t="s">
        <v>1031</v>
      </c>
      <c r="M8" s="501">
        <v>44432</v>
      </c>
      <c r="N8" s="501">
        <v>44620</v>
      </c>
      <c r="O8" s="168">
        <f>(N8-M8)/7</f>
        <v>26.857142857142858</v>
      </c>
      <c r="P8" s="752">
        <v>45679</v>
      </c>
      <c r="Q8" s="502">
        <f>P8</f>
        <v>45679</v>
      </c>
      <c r="R8" s="169">
        <f>(Q8-M8)/7-O8</f>
        <v>151.28571428571428</v>
      </c>
      <c r="S8" s="170" t="str">
        <f ca="1">IF((N8-TODAY())/7&gt;=0,"En tiempo","Alerta")</f>
        <v>Alerta</v>
      </c>
      <c r="T8" s="171">
        <v>0.4</v>
      </c>
      <c r="U8" s="118">
        <f>T8/H8</f>
        <v>0.4</v>
      </c>
      <c r="V8" s="172">
        <f>IF(R8&gt;O8,0%,IF(R8&lt;=0,"100%",1-(R8/O8)))</f>
        <v>0</v>
      </c>
      <c r="W8" s="173" t="str">
        <f>IF(Q8&lt;=N8,"Cumple","Incumple")</f>
        <v>Incumple</v>
      </c>
      <c r="X8" s="252" t="s">
        <v>1037</v>
      </c>
      <c r="Y8" s="253" t="s">
        <v>3160</v>
      </c>
      <c r="Z8" s="172">
        <f>(U8+V8)/2</f>
        <v>0.2</v>
      </c>
      <c r="AA8" s="174"/>
      <c r="AB8" s="174"/>
      <c r="AC8" s="175"/>
      <c r="AD8" s="176" t="s">
        <v>1038</v>
      </c>
    </row>
    <row r="9" spans="1:30" ht="150.75" customHeight="1" thickBot="1" x14ac:dyDescent="0.25">
      <c r="A9" s="163" t="s">
        <v>52</v>
      </c>
      <c r="B9" s="163" t="s">
        <v>53</v>
      </c>
      <c r="C9" s="503" t="s">
        <v>1039</v>
      </c>
      <c r="D9" s="951"/>
      <c r="E9" s="951"/>
      <c r="F9" s="498" t="s">
        <v>1040</v>
      </c>
      <c r="G9" s="498" t="s">
        <v>1029</v>
      </c>
      <c r="H9" s="499">
        <v>1</v>
      </c>
      <c r="I9" s="500" t="s">
        <v>1041</v>
      </c>
      <c r="J9" s="500" t="s">
        <v>865</v>
      </c>
      <c r="K9" s="500" t="s">
        <v>61</v>
      </c>
      <c r="L9" s="500" t="s">
        <v>1031</v>
      </c>
      <c r="M9" s="501">
        <v>44432</v>
      </c>
      <c r="N9" s="501">
        <v>44620</v>
      </c>
      <c r="O9" s="168">
        <f>(N9-M9)/7</f>
        <v>26.857142857142858</v>
      </c>
      <c r="P9" s="501">
        <v>44742</v>
      </c>
      <c r="Q9" s="504">
        <v>44816</v>
      </c>
      <c r="R9" s="169">
        <f>(Q9-M9)/7-O9</f>
        <v>27.999999999999996</v>
      </c>
      <c r="S9" s="170" t="str">
        <f ca="1">IF((N9-TODAY())/7&gt;=0,"En tiempo","Alerta")</f>
        <v>Alerta</v>
      </c>
      <c r="T9" s="171">
        <v>1</v>
      </c>
      <c r="U9" s="118">
        <f>T9/H9</f>
        <v>1</v>
      </c>
      <c r="V9" s="172">
        <f>IF(R9&gt;O9,0%,IF(R9&lt;=0,"100%",1-(R9/O9)))</f>
        <v>0</v>
      </c>
      <c r="W9" s="173" t="str">
        <f>IF(Q9&lt;=N9,"Cumple","Incumple")</f>
        <v>Incumple</v>
      </c>
      <c r="X9" s="253" t="s">
        <v>1042</v>
      </c>
      <c r="Y9" s="253" t="s">
        <v>1043</v>
      </c>
      <c r="Z9" s="172">
        <f>(U9+V9)/2</f>
        <v>0.5</v>
      </c>
      <c r="AA9" s="174">
        <v>0.8</v>
      </c>
      <c r="AB9" s="174">
        <v>0.7</v>
      </c>
      <c r="AC9" s="175">
        <f>AVERAGE(Z9:AB9)</f>
        <v>0.66666666666666663</v>
      </c>
      <c r="AD9" s="176" t="s">
        <v>1044</v>
      </c>
    </row>
    <row r="10" spans="1:30" ht="79.5" customHeight="1" x14ac:dyDescent="0.2">
      <c r="A10" s="163" t="s">
        <v>52</v>
      </c>
      <c r="B10" s="163" t="s">
        <v>53</v>
      </c>
      <c r="C10" s="498" t="s">
        <v>1045</v>
      </c>
      <c r="D10" s="951"/>
      <c r="E10" s="951"/>
      <c r="F10" s="956" t="s">
        <v>1046</v>
      </c>
      <c r="G10" s="951" t="s">
        <v>1029</v>
      </c>
      <c r="H10" s="957">
        <v>1</v>
      </c>
      <c r="I10" s="958" t="s">
        <v>1041</v>
      </c>
      <c r="J10" s="959" t="s">
        <v>865</v>
      </c>
      <c r="K10" s="958" t="s">
        <v>61</v>
      </c>
      <c r="L10" s="958" t="s">
        <v>1031</v>
      </c>
      <c r="M10" s="937">
        <v>44432</v>
      </c>
      <c r="N10" s="937">
        <v>44620</v>
      </c>
      <c r="O10" s="938">
        <f>(N10-M10)/7</f>
        <v>26.857142857142858</v>
      </c>
      <c r="P10" s="939" t="s">
        <v>1047</v>
      </c>
      <c r="Q10" s="940">
        <v>44742</v>
      </c>
      <c r="R10" s="933">
        <f>(Q10-M10)/7-O10</f>
        <v>17.428571428571427</v>
      </c>
      <c r="S10" s="935" t="str">
        <f ca="1">IF((N10-TODAY())/7&gt;=0,"En tiempo","Alerta")</f>
        <v>Alerta</v>
      </c>
      <c r="T10" s="936">
        <v>1</v>
      </c>
      <c r="U10" s="946">
        <f t="shared" ref="U10" si="0">T10/H10</f>
        <v>1</v>
      </c>
      <c r="V10" s="953">
        <f>IF(R10&gt;O10,0%,IF(R10&lt;=0,"100%",1-(R10/O10)))</f>
        <v>0.35106382978723416</v>
      </c>
      <c r="W10" s="955" t="str">
        <f>IF(Q10&lt;=N10,"Cumple","Incumple")</f>
        <v>Incumple</v>
      </c>
      <c r="X10" s="952" t="s">
        <v>1048</v>
      </c>
      <c r="Y10" s="954" t="s">
        <v>1049</v>
      </c>
      <c r="Z10" s="949">
        <f>(U10+V10)/2</f>
        <v>0.67553191489361708</v>
      </c>
      <c r="AA10" s="948">
        <v>0.7</v>
      </c>
      <c r="AB10" s="948">
        <v>0.4</v>
      </c>
      <c r="AC10" s="950">
        <f>AVERAGE(Z10:AB10)</f>
        <v>0.59184397163120561</v>
      </c>
      <c r="AD10" s="947" t="s">
        <v>1050</v>
      </c>
    </row>
    <row r="11" spans="1:30" ht="126" customHeight="1" x14ac:dyDescent="0.2">
      <c r="A11" s="163" t="s">
        <v>52</v>
      </c>
      <c r="B11" s="163" t="s">
        <v>53</v>
      </c>
      <c r="C11" s="498" t="s">
        <v>1051</v>
      </c>
      <c r="D11" s="951"/>
      <c r="E11" s="951"/>
      <c r="F11" s="956"/>
      <c r="G11" s="951"/>
      <c r="H11" s="957"/>
      <c r="I11" s="958"/>
      <c r="J11" s="959"/>
      <c r="K11" s="958"/>
      <c r="L11" s="958"/>
      <c r="M11" s="937"/>
      <c r="N11" s="937"/>
      <c r="O11" s="938"/>
      <c r="P11" s="939"/>
      <c r="Q11" s="940"/>
      <c r="R11" s="934"/>
      <c r="S11" s="935"/>
      <c r="T11" s="936"/>
      <c r="U11" s="946"/>
      <c r="V11" s="953"/>
      <c r="W11" s="955"/>
      <c r="X11" s="952"/>
      <c r="Y11" s="954"/>
      <c r="Z11" s="949"/>
      <c r="AA11" s="948"/>
      <c r="AB11" s="948"/>
      <c r="AC11" s="950"/>
      <c r="AD11" s="947"/>
    </row>
    <row r="12" spans="1:30" x14ac:dyDescent="0.2">
      <c r="A12"/>
      <c r="B12"/>
      <c r="C12"/>
      <c r="D12"/>
      <c r="E12"/>
      <c r="F12"/>
      <c r="G12" s="165" t="s">
        <v>314</v>
      </c>
      <c r="H12" s="168">
        <f>SUM(H7:H11)</f>
        <v>4</v>
      </c>
      <c r="I12"/>
      <c r="J12"/>
      <c r="K12"/>
      <c r="L12"/>
      <c r="M12"/>
      <c r="N12"/>
      <c r="O12"/>
      <c r="P12"/>
      <c r="Q12" s="932" t="s">
        <v>195</v>
      </c>
      <c r="R12" s="932"/>
      <c r="S12" s="932"/>
      <c r="T12" s="180">
        <f>SUM(T7:T11)</f>
        <v>3.4</v>
      </c>
      <c r="U12" s="111">
        <f>AVERAGE(U7:U11)</f>
        <v>0.85</v>
      </c>
      <c r="V12" s="179"/>
      <c r="W12" s="178">
        <f>(COUNTIF(W7:W11,"Cumple")*100%)/COUNTA(W7:W11)</f>
        <v>0</v>
      </c>
      <c r="X12"/>
      <c r="Y12"/>
      <c r="Z12" s="932" t="s">
        <v>195</v>
      </c>
      <c r="AA12" s="932"/>
      <c r="AB12" s="932"/>
      <c r="AC12" s="177">
        <f>AVERAGE(AC7:AC11)</f>
        <v>0.67505910165484628</v>
      </c>
      <c r="AD12"/>
    </row>
    <row r="13" spans="1:30" x14ac:dyDescent="0.2">
      <c r="A13"/>
      <c r="B13"/>
      <c r="C13"/>
      <c r="D13"/>
      <c r="E13"/>
      <c r="F13"/>
      <c r="I13"/>
      <c r="J13"/>
      <c r="K13"/>
      <c r="L13"/>
      <c r="M13"/>
      <c r="N13"/>
      <c r="O13"/>
      <c r="P13"/>
      <c r="X13"/>
      <c r="Y13"/>
      <c r="AD13"/>
    </row>
    <row r="14" spans="1:30" x14ac:dyDescent="0.2">
      <c r="A14"/>
      <c r="B14"/>
      <c r="C14"/>
      <c r="D14"/>
      <c r="E14"/>
      <c r="F14"/>
      <c r="I14"/>
      <c r="J14"/>
      <c r="K14"/>
      <c r="L14"/>
      <c r="M14"/>
      <c r="N14"/>
      <c r="O14"/>
      <c r="P14"/>
      <c r="U14" s="81"/>
      <c r="X14"/>
      <c r="Y14"/>
      <c r="AD14"/>
    </row>
    <row r="15" spans="1:30" x14ac:dyDescent="0.2">
      <c r="A15"/>
      <c r="B15"/>
      <c r="C15"/>
      <c r="D15"/>
      <c r="E15"/>
      <c r="F15"/>
      <c r="I15"/>
      <c r="J15"/>
      <c r="K15"/>
      <c r="L15"/>
      <c r="M15"/>
      <c r="N15"/>
      <c r="O15"/>
      <c r="P15"/>
      <c r="Q15" s="82"/>
      <c r="U15" s="945"/>
      <c r="V15" s="945"/>
      <c r="X15"/>
      <c r="Y15"/>
      <c r="AB15"/>
      <c r="AC15"/>
      <c r="AD15"/>
    </row>
    <row r="16" spans="1:30" x14ac:dyDescent="0.2">
      <c r="A16"/>
      <c r="B16"/>
      <c r="C16"/>
      <c r="D16"/>
      <c r="E16"/>
      <c r="F16"/>
      <c r="I16"/>
      <c r="J16"/>
      <c r="K16"/>
      <c r="L16"/>
      <c r="M16"/>
      <c r="N16"/>
      <c r="O16"/>
      <c r="P16"/>
      <c r="X16"/>
      <c r="Y16"/>
      <c r="AB16"/>
      <c r="AC16"/>
      <c r="AD16"/>
    </row>
    <row r="17" spans="1:30" x14ac:dyDescent="0.2">
      <c r="A17"/>
      <c r="B17"/>
      <c r="C17"/>
      <c r="D17"/>
      <c r="E17"/>
      <c r="F17"/>
      <c r="I17"/>
      <c r="J17"/>
      <c r="K17"/>
      <c r="L17"/>
      <c r="M17"/>
      <c r="N17"/>
      <c r="O17"/>
      <c r="P17"/>
      <c r="X17"/>
      <c r="Y17"/>
      <c r="AB17"/>
      <c r="AC17"/>
      <c r="AD17"/>
    </row>
    <row r="18" spans="1:30" x14ac:dyDescent="0.2">
      <c r="A18"/>
      <c r="B18"/>
      <c r="C18"/>
      <c r="D18"/>
      <c r="E18"/>
      <c r="F18"/>
      <c r="I18"/>
      <c r="J18"/>
      <c r="K18"/>
      <c r="L18"/>
      <c r="M18"/>
      <c r="N18"/>
      <c r="O18"/>
      <c r="P18"/>
      <c r="X18"/>
      <c r="Y18"/>
      <c r="AB18"/>
      <c r="AC18"/>
      <c r="AD18"/>
    </row>
    <row r="19" spans="1:30" x14ac:dyDescent="0.2">
      <c r="A19"/>
      <c r="B19"/>
      <c r="C19"/>
      <c r="D19"/>
      <c r="E19"/>
      <c r="F19"/>
      <c r="I19"/>
      <c r="J19"/>
      <c r="K19"/>
      <c r="L19"/>
      <c r="M19"/>
      <c r="N19"/>
      <c r="O19"/>
      <c r="P19"/>
      <c r="X19"/>
      <c r="Y19"/>
      <c r="AB19"/>
      <c r="AC19"/>
      <c r="AD19"/>
    </row>
    <row r="20" spans="1:30" x14ac:dyDescent="0.2">
      <c r="A20"/>
      <c r="B20"/>
      <c r="C20"/>
      <c r="D20"/>
      <c r="E20"/>
      <c r="F20"/>
      <c r="I20"/>
      <c r="J20"/>
      <c r="K20"/>
      <c r="L20"/>
      <c r="M20"/>
      <c r="N20"/>
      <c r="O20"/>
      <c r="P20"/>
      <c r="X20"/>
      <c r="Y20"/>
      <c r="AB20"/>
      <c r="AC20"/>
      <c r="AD20"/>
    </row>
    <row r="21" spans="1:30" x14ac:dyDescent="0.2">
      <c r="A21"/>
      <c r="B21"/>
      <c r="C21"/>
      <c r="D21"/>
      <c r="E21"/>
      <c r="F21"/>
      <c r="I21"/>
      <c r="J21"/>
      <c r="K21"/>
      <c r="L21"/>
      <c r="M21"/>
      <c r="N21"/>
      <c r="O21"/>
      <c r="P21"/>
      <c r="X21"/>
      <c r="Y21"/>
      <c r="AB21"/>
      <c r="AC21"/>
      <c r="AD21"/>
    </row>
    <row r="22" spans="1:30" x14ac:dyDescent="0.2">
      <c r="A22"/>
      <c r="B22"/>
      <c r="C22"/>
      <c r="D22"/>
      <c r="E22"/>
      <c r="F22"/>
      <c r="I22"/>
      <c r="J22"/>
      <c r="K22"/>
      <c r="L22"/>
      <c r="M22"/>
      <c r="N22"/>
      <c r="O22"/>
      <c r="P22"/>
      <c r="X22"/>
      <c r="Y22"/>
      <c r="AB22"/>
      <c r="AC22"/>
      <c r="AD22"/>
    </row>
    <row r="23" spans="1:30" x14ac:dyDescent="0.2">
      <c r="A23"/>
      <c r="B23"/>
      <c r="C23"/>
      <c r="D23"/>
      <c r="E23"/>
      <c r="F23"/>
      <c r="I23"/>
      <c r="J23"/>
      <c r="K23"/>
      <c r="L23"/>
      <c r="M23"/>
      <c r="N23"/>
      <c r="O23"/>
      <c r="P23"/>
      <c r="X23"/>
      <c r="Y23"/>
      <c r="AB23"/>
      <c r="AC23"/>
      <c r="AD23"/>
    </row>
    <row r="24" spans="1:30" x14ac:dyDescent="0.2">
      <c r="A24"/>
      <c r="B24"/>
      <c r="C24"/>
      <c r="D24"/>
      <c r="E24"/>
      <c r="F24"/>
      <c r="X24"/>
      <c r="Y24"/>
      <c r="AB24"/>
      <c r="AC24"/>
      <c r="AD24"/>
    </row>
    <row r="25" spans="1:30" x14ac:dyDescent="0.2">
      <c r="A25"/>
      <c r="B25"/>
      <c r="C25"/>
      <c r="D25"/>
      <c r="E25"/>
      <c r="F25"/>
      <c r="X25"/>
      <c r="Y25"/>
    </row>
    <row r="26" spans="1:30" x14ac:dyDescent="0.2">
      <c r="A26"/>
      <c r="B26"/>
      <c r="C26"/>
      <c r="D26"/>
      <c r="E26"/>
      <c r="F26"/>
      <c r="X26"/>
      <c r="Y26"/>
    </row>
    <row r="27" spans="1:30" x14ac:dyDescent="0.2">
      <c r="A27"/>
      <c r="B27"/>
      <c r="C27"/>
      <c r="D27"/>
      <c r="E27"/>
      <c r="F27"/>
    </row>
    <row r="28" spans="1:30" x14ac:dyDescent="0.2">
      <c r="A28"/>
      <c r="B28"/>
      <c r="C28"/>
      <c r="D28"/>
      <c r="E28"/>
      <c r="F28"/>
    </row>
    <row r="29" spans="1:30" x14ac:dyDescent="0.2">
      <c r="A29"/>
      <c r="B29"/>
      <c r="C29"/>
      <c r="D29"/>
      <c r="E29"/>
      <c r="F29"/>
    </row>
    <row r="30" spans="1:30" x14ac:dyDescent="0.2">
      <c r="A30"/>
      <c r="B30"/>
      <c r="C30"/>
      <c r="D30"/>
      <c r="E30"/>
      <c r="F30"/>
    </row>
    <row r="31" spans="1:30" x14ac:dyDescent="0.2">
      <c r="A31"/>
      <c r="B31"/>
      <c r="C31"/>
      <c r="D31"/>
      <c r="E31"/>
      <c r="F31"/>
    </row>
    <row r="32" spans="1:30" x14ac:dyDescent="0.2">
      <c r="A32"/>
      <c r="B32"/>
      <c r="C32"/>
      <c r="D32"/>
      <c r="E32"/>
      <c r="F32"/>
    </row>
    <row r="33" spans="1:6" x14ac:dyDescent="0.2">
      <c r="A33"/>
      <c r="B33"/>
      <c r="C33"/>
      <c r="D33"/>
      <c r="E33"/>
      <c r="F33"/>
    </row>
  </sheetData>
  <dataConsolidate/>
  <mergeCells count="60">
    <mergeCell ref="Q1:Y2"/>
    <mergeCell ref="Z1:AD4"/>
    <mergeCell ref="W3:X3"/>
    <mergeCell ref="O1:P2"/>
    <mergeCell ref="A2:B2"/>
    <mergeCell ref="C2:F2"/>
    <mergeCell ref="G2:H2"/>
    <mergeCell ref="I2:N2"/>
    <mergeCell ref="Q3:V3"/>
    <mergeCell ref="A1:B1"/>
    <mergeCell ref="C1:N1"/>
    <mergeCell ref="A3:B3"/>
    <mergeCell ref="C3:F3"/>
    <mergeCell ref="G3:H3"/>
    <mergeCell ref="I3:N3"/>
    <mergeCell ref="O3:P3"/>
    <mergeCell ref="A4:B4"/>
    <mergeCell ref="C4:F4"/>
    <mergeCell ref="G4:H4"/>
    <mergeCell ref="I4:N4"/>
    <mergeCell ref="O4:P4"/>
    <mergeCell ref="T4:U4"/>
    <mergeCell ref="V4:Y4"/>
    <mergeCell ref="D7:D11"/>
    <mergeCell ref="E7:E11"/>
    <mergeCell ref="Q4:S4"/>
    <mergeCell ref="X10:X11"/>
    <mergeCell ref="V10:V11"/>
    <mergeCell ref="Y10:Y11"/>
    <mergeCell ref="W10:W11"/>
    <mergeCell ref="F10:F11"/>
    <mergeCell ref="G10:G11"/>
    <mergeCell ref="H10:H11"/>
    <mergeCell ref="I10:I11"/>
    <mergeCell ref="J10:J11"/>
    <mergeCell ref="K10:K11"/>
    <mergeCell ref="L10:L11"/>
    <mergeCell ref="U15:V15"/>
    <mergeCell ref="U10:U11"/>
    <mergeCell ref="AD10:AD11"/>
    <mergeCell ref="AA10:AA11"/>
    <mergeCell ref="AB10:AB11"/>
    <mergeCell ref="Z10:Z11"/>
    <mergeCell ref="AC10:AC11"/>
    <mergeCell ref="Z12:AB12"/>
    <mergeCell ref="Q12:S12"/>
    <mergeCell ref="A5:N5"/>
    <mergeCell ref="O5:Y5"/>
    <mergeCell ref="Z5:AD5"/>
    <mergeCell ref="R10:R11"/>
    <mergeCell ref="S10:S11"/>
    <mergeCell ref="T10:T11"/>
    <mergeCell ref="M10:M11"/>
    <mergeCell ref="N10:N11"/>
    <mergeCell ref="O10:O11"/>
    <mergeCell ref="P10:P11"/>
    <mergeCell ref="Q10:Q11"/>
    <mergeCell ref="C7:C8"/>
    <mergeCell ref="B7:B8"/>
    <mergeCell ref="A7:A8"/>
  </mergeCells>
  <conditionalFormatting sqref="R7:R10">
    <cfRule type="cellIs" dxfId="305" priority="33" operator="greaterThan">
      <formula>0</formula>
    </cfRule>
    <cfRule type="cellIs" dxfId="304" priority="34" operator="lessThan">
      <formula>0</formula>
    </cfRule>
  </conditionalFormatting>
  <conditionalFormatting sqref="S7:S10">
    <cfRule type="containsText" dxfId="303" priority="31" operator="containsText" text="Alerta">
      <formula>NOT(ISERROR(SEARCH("Alerta",S7)))</formula>
    </cfRule>
    <cfRule type="containsText" dxfId="302" priority="32" operator="containsText" text="En tiempo">
      <formula>NOT(ISERROR(SEARCH("En tiempo",S7)))</formula>
    </cfRule>
  </conditionalFormatting>
  <conditionalFormatting sqref="U7:U10 U12">
    <cfRule type="cellIs" dxfId="301" priority="3" stopIfTrue="1" operator="between">
      <formula>0.8</formula>
      <formula>1</formula>
    </cfRule>
    <cfRule type="cellIs" dxfId="300" priority="4" stopIfTrue="1" operator="between">
      <formula>0.5</formula>
      <formula>0.79</formula>
    </cfRule>
    <cfRule type="cellIs" dxfId="299" priority="5" stopIfTrue="1" operator="between">
      <formula>0.3</formula>
      <formula>0.49</formula>
    </cfRule>
    <cfRule type="cellIs" dxfId="298" priority="6" stopIfTrue="1" operator="between">
      <formula>0</formula>
      <formula>0.29</formula>
    </cfRule>
  </conditionalFormatting>
  <conditionalFormatting sqref="V7:V10">
    <cfRule type="cellIs" dxfId="297" priority="25" operator="between">
      <formula>0.19</formula>
      <formula>0</formula>
    </cfRule>
    <cfRule type="cellIs" dxfId="296" priority="26" operator="between">
      <formula>0.49</formula>
      <formula>0.2</formula>
    </cfRule>
    <cfRule type="cellIs" dxfId="295" priority="27" operator="between">
      <formula>0.89</formula>
      <formula>0.5</formula>
    </cfRule>
    <cfRule type="cellIs" dxfId="294" priority="28" operator="between">
      <formula>1</formula>
      <formula>0.9</formula>
    </cfRule>
  </conditionalFormatting>
  <conditionalFormatting sqref="W7:W10">
    <cfRule type="containsText" dxfId="293" priority="29" operator="containsText" text="Incumple">
      <formula>NOT(ISERROR(SEARCH("Incumple",W7)))</formula>
    </cfRule>
    <cfRule type="containsText" dxfId="292" priority="30" operator="containsText" text="Cumple">
      <formula>NOT(ISERROR(SEARCH("Cumple",W7)))</formula>
    </cfRule>
  </conditionalFormatting>
  <conditionalFormatting sqref="W12">
    <cfRule type="cellIs" dxfId="291" priority="17" operator="between">
      <formula>0.19</formula>
      <formula>0</formula>
    </cfRule>
    <cfRule type="cellIs" dxfId="290" priority="18" operator="between">
      <formula>0.49</formula>
      <formula>0.2</formula>
    </cfRule>
    <cfRule type="cellIs" dxfId="289" priority="19" operator="between">
      <formula>0.89</formula>
      <formula>0.5</formula>
    </cfRule>
    <cfRule type="cellIs" dxfId="288" priority="20" operator="between">
      <formula>1</formula>
      <formula>0.9</formula>
    </cfRule>
  </conditionalFormatting>
  <conditionalFormatting sqref="Z7:Z10">
    <cfRule type="cellIs" dxfId="287" priority="13" operator="between">
      <formula>0.19</formula>
      <formula>0</formula>
    </cfRule>
    <cfRule type="cellIs" dxfId="286" priority="14" operator="between">
      <formula>0.49</formula>
      <formula>0.2</formula>
    </cfRule>
    <cfRule type="cellIs" dxfId="285" priority="15" operator="between">
      <formula>0.89</formula>
      <formula>0.5</formula>
    </cfRule>
    <cfRule type="cellIs" dxfId="284" priority="16" operator="between">
      <formula>1</formula>
      <formula>0.9</formula>
    </cfRule>
  </conditionalFormatting>
  <conditionalFormatting sqref="AC7:AC10">
    <cfRule type="cellIs" dxfId="283" priority="7" operator="between">
      <formula>0.3</formula>
      <formula>0</formula>
    </cfRule>
    <cfRule type="cellIs" dxfId="282" priority="8" operator="between">
      <formula>0.6999</formula>
      <formula>0.3111</formula>
    </cfRule>
    <cfRule type="cellIs" dxfId="281" priority="9" operator="between">
      <formula>1</formula>
      <formula>0.7</formula>
    </cfRule>
  </conditionalFormatting>
  <conditionalFormatting sqref="AC12">
    <cfRule type="cellIs" dxfId="280" priority="10" operator="between">
      <formula>0.3</formula>
      <formula>0</formula>
    </cfRule>
    <cfRule type="cellIs" dxfId="279" priority="11" operator="between">
      <formula>0.6999</formula>
      <formula>0.3111</formula>
    </cfRule>
    <cfRule type="cellIs" dxfId="278" priority="12" operator="between">
      <formula>1</formula>
      <formula>0.7</formula>
    </cfRule>
  </conditionalFormatting>
  <dataValidations count="5">
    <dataValidation type="list" allowBlank="1" showInputMessage="1" showErrorMessage="1" sqref="B7 B9:B11" xr:uid="{00000000-0002-0000-1700-000000000000}">
      <formula1>$AV$5:$AV$9</formula1>
    </dataValidation>
    <dataValidation type="list" allowBlank="1" showInputMessage="1" showErrorMessage="1" errorTitle="Estado" error="No es un estado de los Planes de Mejoramiento" sqref="Q4:S4" xr:uid="{00000000-0002-0000-1700-000001000000}">
      <formula1>$AW$4:$AW$7</formula1>
    </dataValidation>
    <dataValidation type="list" allowBlank="1" showInputMessage="1" showErrorMessage="1" sqref="A7 A9:A11" xr:uid="{00000000-0002-0000-1700-000002000000}">
      <formula1>$AP$4:$AP$11</formula1>
    </dataValidation>
    <dataValidation type="list" allowBlank="1" showInputMessage="1" showErrorMessage="1" sqref="J7:J10" xr:uid="{00000000-0002-0000-1700-000004000000}">
      <formula1>$AR$4:$AR$11</formula1>
    </dataValidation>
    <dataValidation type="list" allowBlank="1" showInputMessage="1" showErrorMessage="1" sqref="K7:K10" xr:uid="{00000000-0002-0000-1700-000005000000}">
      <formula1>$AS$4:$AS$11</formula1>
    </dataValidation>
  </dataValidations>
  <pageMargins left="1.4960629921259843" right="0.70866141732283472" top="0.74803149606299213" bottom="0.74803149606299213" header="0.31496062992125984" footer="0.31496062992125984"/>
  <pageSetup scale="34" fitToWidth="0" orientation="landscape" r:id="rId1"/>
  <colBreaks count="2" manualBreakCount="2">
    <brk id="14" max="1048575" man="1"/>
    <brk id="25"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4796b92-89f8-46a2-8728-98f3114e09c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764A3368A43249B966AA3699092348" ma:contentTypeVersion="7" ma:contentTypeDescription="Create a new document." ma:contentTypeScope="" ma:versionID="d90a39c1f8b924ece199e148e2211784">
  <xsd:schema xmlns:xsd="http://www.w3.org/2001/XMLSchema" xmlns:xs="http://www.w3.org/2001/XMLSchema" xmlns:p="http://schemas.microsoft.com/office/2006/metadata/properties" xmlns:ns3="c4796b92-89f8-46a2-8728-98f3114e09c5" xmlns:ns4="c36cb2c1-8dd1-4872-8ba8-8ad0b6598448" targetNamespace="http://schemas.microsoft.com/office/2006/metadata/properties" ma:root="true" ma:fieldsID="9c09250d729fb5f0ba718bf0dd38bcc2" ns3:_="" ns4:_="">
    <xsd:import namespace="c4796b92-89f8-46a2-8728-98f3114e09c5"/>
    <xsd:import namespace="c36cb2c1-8dd1-4872-8ba8-8ad0b659844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96b92-89f8-46a2-8728-98f3114e0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6cb2c1-8dd1-4872-8ba8-8ad0b659844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80084C-0755-4602-9CDC-77D76DACD198}">
  <ds:schemaRefs>
    <ds:schemaRef ds:uri="http://schemas.microsoft.com/office/2006/metadata/properties"/>
    <ds:schemaRef ds:uri="http://schemas.microsoft.com/office/infopath/2007/PartnerControls"/>
    <ds:schemaRef ds:uri="c4796b92-89f8-46a2-8728-98f3114e09c5"/>
  </ds:schemaRefs>
</ds:datastoreItem>
</file>

<file path=customXml/itemProps2.xml><?xml version="1.0" encoding="utf-8"?>
<ds:datastoreItem xmlns:ds="http://schemas.openxmlformats.org/officeDocument/2006/customXml" ds:itemID="{77F1DA65-EAE5-4A50-85E6-EDD847D8E6E3}">
  <ds:schemaRefs>
    <ds:schemaRef ds:uri="http://schemas.microsoft.com/sharepoint/v3/contenttype/forms"/>
  </ds:schemaRefs>
</ds:datastoreItem>
</file>

<file path=customXml/itemProps3.xml><?xml version="1.0" encoding="utf-8"?>
<ds:datastoreItem xmlns:ds="http://schemas.openxmlformats.org/officeDocument/2006/customXml" ds:itemID="{25227E4C-EA37-4555-B5F4-0E6D0F1A95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796b92-89f8-46a2-8728-98f3114e09c5"/>
    <ds:schemaRef ds:uri="c36cb2c1-8dd1-4872-8ba8-8ad0b65984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TRANSPORTE</vt:lpstr>
      <vt:lpstr>GESTIÓN AMBIENTAL</vt:lpstr>
      <vt:lpstr>ARCHIVO HISTÓRICO </vt:lpstr>
      <vt:lpstr>CIC</vt:lpstr>
      <vt:lpstr>POSGRADOS</vt:lpstr>
      <vt:lpstr>TALENTO HUMANO UNISALUD</vt:lpstr>
      <vt:lpstr>TALENTO HUMANO DIV.</vt:lpstr>
      <vt:lpstr>SGSST</vt:lpstr>
      <vt:lpstr>MATRICULA FINANCIERA</vt:lpstr>
      <vt:lpstr>LEGALIZACION AVANCES</vt:lpstr>
      <vt:lpstr>BIENESTAR UNIVERSITARIO</vt:lpstr>
      <vt:lpstr>RELIQUIDACION MATRICULA</vt:lpstr>
      <vt:lpstr>REGISTRO DE NOTAS</vt:lpstr>
      <vt:lpstr>PROYECTOS VRI</vt:lpstr>
      <vt:lpstr>REGIONALIZACIÓN</vt:lpstr>
      <vt:lpstr>PLANES ACADÉMICA</vt:lpstr>
      <vt:lpstr>PROFESOR INVITADO</vt:lpstr>
      <vt:lpstr>PETI</vt:lpstr>
      <vt:lpstr>CGR 2019</vt:lpstr>
      <vt:lpstr>CGR 2020</vt:lpstr>
      <vt:lpstr>CGR 2021</vt:lpstr>
      <vt:lpstr>CGR 2023</vt:lpstr>
      <vt:lpstr>DETALLE INTERNOS</vt:lpstr>
      <vt:lpstr>DETALLE CGR</vt:lpstr>
      <vt:lpstr>Cronógrama</vt:lpstr>
      <vt:lpstr>Cronógrama nov.2019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unicauca</dc:creator>
  <cp:keywords/>
  <dc:description/>
  <cp:lastModifiedBy>LESLY SAHUR GARZON DAZA</cp:lastModifiedBy>
  <cp:revision/>
  <dcterms:created xsi:type="dcterms:W3CDTF">2019-03-05T20:04:30Z</dcterms:created>
  <dcterms:modified xsi:type="dcterms:W3CDTF">2025-04-23T16:17:45Z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0x01010063764A3368A43249B966AA3699092348</vt:lpwstr>
  </property>
</Properties>
</file>